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im\Downloads\"/>
    </mc:Choice>
  </mc:AlternateContent>
  <xr:revisionPtr revIDLastSave="0" documentId="8_{190BEA46-CAA5-40B8-89D7-44DDEB72D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 - START HERE" sheetId="1" r:id="rId1"/>
    <sheet name="01 - PROJECT SETUP" sheetId="2" r:id="rId2"/>
    <sheet name="02 - CONTROL DASHBOARD" sheetId="3" r:id="rId3"/>
    <sheet name="03 - HEALTH REVIEW" sheetId="4" r:id="rId4"/>
    <sheet name="04 - DECISION LOG" sheetId="5" r:id="rId5"/>
    <sheet name="05 - DEPENDENCIES" sheetId="6" r:id="rId6"/>
    <sheet name="06 - FLOW" sheetId="7" r:id="rId7"/>
    <sheet name="07 - EVIDENCE &amp; ASSURANCE" sheetId="8" r:id="rId8"/>
    <sheet name="08 - READINESS" sheetId="9" r:id="rId9"/>
    <sheet name="09 - ADOPTION &amp; BENEFITS" sheetId="10" r:id="rId10"/>
    <sheet name="10 - RECOVERY" sheetId="11" r:id="rId11"/>
    <sheet name="11 - STEERING PACK" sheetId="12" r:id="rId12"/>
    <sheet name="12 - NEXT ACTIONS" sheetId="13" r:id="rId13"/>
    <sheet name="13 - DATA &amp; LISTS" sheetId="14" r:id="rId14"/>
    <sheet name="14 - REVIEW HISTORY" sheetId="15" r:id="rId15"/>
    <sheet name="15 - AI DELEGATION" sheetId="16" r:id="rId16"/>
  </sheets>
  <definedNames>
    <definedName name="Authority">'13 - DATA &amp; LISTS'!$I$9:$I$12</definedName>
    <definedName name="BlockDays">'01 - PROJECT SETUP'!$B$25</definedName>
    <definedName name="CadenceDays">'01 - PROJECT SETUP'!$B$29</definedName>
    <definedName name="CapabilityIDs">'07 - EVIDENCE &amp; ASSURANCE'!$A$9:$A$58</definedName>
    <definedName name="Change">'13 - DATA &amp; LISTS'!$N$9:$N$12</definedName>
    <definedName name="Clear_03">'03 - HEALTH REVIEW'!$C$9:$C$15,'03 - HEALTH REVIEW'!$D$9:$D$15,'03 - HEALTH REVIEW'!$E$9:$E$15,'03 - HEALTH REVIEW'!$G$9:$G$15,'03 - HEALTH REVIEW'!$H$9:$H$15,'03 - HEALTH REVIEW'!$I$9:$I$15,'03 - HEALTH REVIEW'!$J$9:$J$15,'03 - HEALTH REVIEW'!$K$9:$K$15,'03 - HEALTH REVIEW'!$L$9:$L$15,'03 - HEALTH REVIEW'!$M$9:$M$15,'03 - HEALTH REVIEW'!$N$9:$N$15,'03 - HEALTH REVIEW'!$O$9:$O$15</definedName>
    <definedName name="Clear_04">'04 - DECISION LOG'!$A$9:$A$58,'04 - DECISION LOG'!$B$9:$B$58,'04 - DECISION LOG'!$C$9:$C$58,'04 - DECISION LOG'!$D$9:$D$58,'04 - DECISION LOG'!$E$9:$E$58,'04 - DECISION LOG'!$I$9:$I$58,'04 - DECISION LOG'!$J$9:$J$58,'04 - DECISION LOG'!$K$9:$K$58,'04 - DECISION LOG'!$L$9:$L$58,'04 - DECISION LOG'!$M$9:$M$58,'04 - DECISION LOG'!$N$9:$N$58,'04 - DECISION LOG'!$O$9:$O$58,'04 - DECISION LOG'!$P$9:$P$58,'04 - DECISION LOG'!$Q$9:$Q$58,'04 - DECISION LOG'!$R$9:$R$58,'04 - DECISION LOG'!$S$9:$S$58,'04 - DECISION LOG'!$T$9:$T$58,'04 - DECISION LOG'!$U$9:$U$58,'04 - DECISION LOG'!$V$9:$V$58,'04 - DECISION LOG'!$W$9:$W$58,'04 - DECISION LOG'!$X$9:$X$58,'04 - DECISION LOG'!$Y$9:$Y$58,'04 - DECISION LOG'!$Z$9:$Z$58,'04 - DECISION LOG'!$AA$9:$AA$58,'04 - DECISION LOG'!$AB$9:$AB$58,'04 - DECISION LOG'!$AC$9:$AC$58,'04 - DECISION LOG'!$AD$9:$AD$58,'04 - DECISION LOG'!$AE$9:$AE$58,'04 - DECISION LOG'!$AF$9:$AF$58,'04 - DECISION LOG'!$AG$9:$AG$58</definedName>
    <definedName name="Clear_05">'05 - DEPENDENCIES'!$A$9:$A$58,'05 - DEPENDENCIES'!$B$9:$B$58,'05 - DEPENDENCIES'!$C$9:$C$58,'05 - DEPENDENCIES'!$D$9:$D$58,'05 - DEPENDENCIES'!$E$9:$E$58,'05 - DEPENDENCIES'!$I$9:$I$58,'05 - DEPENDENCIES'!$J$9:$J$58,'05 - DEPENDENCIES'!$K$9:$K$58,'05 - DEPENDENCIES'!$L$9:$L$58,'05 - DEPENDENCIES'!$M$9:$M$58,'05 - DEPENDENCIES'!$N$9:$N$58,'05 - DEPENDENCIES'!$O$9:$O$58,'05 - DEPENDENCIES'!$P$9:$P$58,'05 - DEPENDENCIES'!$Q$9:$Q$58,'05 - DEPENDENCIES'!$R$9:$R$58,'05 - DEPENDENCIES'!$S$9:$S$58,'05 - DEPENDENCIES'!$T$9:$T$58,'05 - DEPENDENCIES'!$U$9:$U$58,'05 - DEPENDENCIES'!$V$9:$V$58,'05 - DEPENDENCIES'!$W$9:$W$58,'05 - DEPENDENCIES'!$X$9:$X$58,'05 - DEPENDENCIES'!$Y$9:$Y$58,'05 - DEPENDENCIES'!$Z$9:$Z$58,'05 - DEPENDENCIES'!$AA$9:$AA$58,'05 - DEPENDENCIES'!$AB$9:$AB$58,'05 - DEPENDENCIES'!$AC$9:$AC$58,'05 - DEPENDENCIES'!$AD$9:$AD$58,'05 - DEPENDENCIES'!$AE$9:$AE$58,'05 - DEPENDENCIES'!$AF$9:$AF$58,'05 - DEPENDENCIES'!$AG$9:$AG$58,'05 - DEPENDENCIES'!$AH$9:$AH$58</definedName>
    <definedName name="Clear_06">'06 - FLOW'!$A$9:$A$58,'06 - FLOW'!$B$9:$B$58,'06 - FLOW'!$C$9:$C$58,'06 - FLOW'!$D$9:$D$58,'06 - FLOW'!$E$9:$E$58,'06 - FLOW'!$I$9:$I$58,'06 - FLOW'!$J$9:$J$58,'06 - FLOW'!$K$9:$K$58,'06 - FLOW'!$L$9:$L$58,'06 - FLOW'!$M$9:$M$58,'06 - FLOW'!$N$9:$N$58,'06 - FLOW'!$O$9:$O$58,'06 - FLOW'!$P$9:$P$58,'06 - FLOW'!$Q$9:$Q$58,'06 - FLOW'!$R$9:$R$58,'06 - FLOW'!$S$9:$S$58,'06 - FLOW'!$T$9:$T$58,'06 - FLOW'!$U$9:$U$58</definedName>
    <definedName name="Clear_07">'07 - EVIDENCE &amp; ASSURANCE'!$A$9:$A$58,'07 - EVIDENCE &amp; ASSURANCE'!$B$9:$B$58,'07 - EVIDENCE &amp; ASSURANCE'!$C$9:$C$58,'07 - EVIDENCE &amp; ASSURANCE'!$D$9:$D$58,'07 - EVIDENCE &amp; ASSURANCE'!$E$9:$E$58,'07 - EVIDENCE &amp; ASSURANCE'!$I$9:$I$58,'07 - EVIDENCE &amp; ASSURANCE'!$J$9:$J$58,'07 - EVIDENCE &amp; ASSURANCE'!$K$9:$K$58,'07 - EVIDENCE &amp; ASSURANCE'!$L$9:$L$58,'07 - EVIDENCE &amp; ASSURANCE'!$M$9:$M$58,'07 - EVIDENCE &amp; ASSURANCE'!$N$9:$N$58,'07 - EVIDENCE &amp; ASSURANCE'!$O$9:$O$58,'07 - EVIDENCE &amp; ASSURANCE'!$P$9:$P$58,'07 - EVIDENCE &amp; ASSURANCE'!$Q$9:$Q$58,'07 - EVIDENCE &amp; ASSURANCE'!$R$9:$R$58,'07 - EVIDENCE &amp; ASSURANCE'!$S$9:$S$58,'07 - EVIDENCE &amp; ASSURANCE'!$T$9:$T$58,'07 - EVIDENCE &amp; ASSURANCE'!$U$9:$U$58,'07 - EVIDENCE &amp; ASSURANCE'!$V$9:$V$58,'07 - EVIDENCE &amp; ASSURANCE'!$W$9:$W$58,'07 - EVIDENCE &amp; ASSURANCE'!$X$9:$X$58,'07 - EVIDENCE &amp; ASSURANCE'!$Y$9:$Y$58,'07 - EVIDENCE &amp; ASSURANCE'!$Z$9:$Z$58,'07 - EVIDENCE &amp; ASSURANCE'!$AA$9:$AA$58,'07 - EVIDENCE &amp; ASSURANCE'!$AB$9:$AB$58,'07 - EVIDENCE &amp; ASSURANCE'!$AC$9:$AC$58,'07 - EVIDENCE &amp; ASSURANCE'!$AD$9:$AD$58,'07 - EVIDENCE &amp; ASSURANCE'!$AE$9:$AE$58,'07 - EVIDENCE &amp; ASSURANCE'!$AF$9:$AF$58,'07 - EVIDENCE &amp; ASSURANCE'!$AG$9:$AG$58</definedName>
    <definedName name="Clear_08">'08 - READINESS'!$A$9:$A$58,'08 - READINESS'!$C$9:$C$58,'08 - READINESS'!$D$9:$D$58,'08 - READINESS'!$E$9:$E$58,'08 - READINESS'!$I$9:$I$58,'08 - READINESS'!$J$9:$J$58,'08 - READINESS'!$K$9:$K$58,'08 - READINESS'!$L$9:$L$58,'08 - READINESS'!$M$9:$M$58,'08 - READINESS'!$N$9:$N$58,'08 - READINESS'!$O$9:$O$58,'08 - READINESS'!$P$9:$P$58,'08 - READINESS'!$Q$9:$Q$58,'08 - READINESS'!$R$9:$R$58,'08 - READINESS'!$S$9:$S$58,'08 - READINESS'!$T$9:$T$58,'08 - READINESS'!$U$9:$U$58</definedName>
    <definedName name="Clear_09">'09 - ADOPTION &amp; BENEFITS'!$A$9:$A$58,'09 - ADOPTION &amp; BENEFITS'!$B$9:$B$58,'09 - ADOPTION &amp; BENEFITS'!$C$9:$C$58,'09 - ADOPTION &amp; BENEFITS'!$D$9:$D$58,'09 - ADOPTION &amp; BENEFITS'!$E$9:$E$58,'09 - ADOPTION &amp; BENEFITS'!$I$9:$I$58,'09 - ADOPTION &amp; BENEFITS'!$J$9:$J$58,'09 - ADOPTION &amp; BENEFITS'!$K$9:$K$58,'09 - ADOPTION &amp; BENEFITS'!$L$9:$L$58,'09 - ADOPTION &amp; BENEFITS'!$M$9:$M$58,'09 - ADOPTION &amp; BENEFITS'!$N$9:$N$58,'09 - ADOPTION &amp; BENEFITS'!$O$9:$O$58,'09 - ADOPTION &amp; BENEFITS'!$P$9:$P$58,'09 - ADOPTION &amp; BENEFITS'!$R$9:$R$58,'09 - ADOPTION &amp; BENEFITS'!$S$9:$S$58,'09 - ADOPTION &amp; BENEFITS'!$T$9:$T$58,'09 - ADOPTION &amp; BENEFITS'!$U$9:$U$58,'09 - ADOPTION &amp; BENEFITS'!$V$9:$V$58,'09 - ADOPTION &amp; BENEFITS'!$W$9:$W$58,'09 - ADOPTION &amp; BENEFITS'!$X$9:$X$58,'09 - ADOPTION &amp; BENEFITS'!$Y$9:$Y$58,'09 - ADOPTION &amp; BENEFITS'!$Z$9:$Z$58,'09 - ADOPTION &amp; BENEFITS'!$AA$9:$AA$58,'09 - ADOPTION &amp; BENEFITS'!$AB$9:$AB$58,'09 - ADOPTION &amp; BENEFITS'!$AC$9:$AC$58,'09 - ADOPTION &amp; BENEFITS'!$AD$9:$AD$58,'09 - ADOPTION &amp; BENEFITS'!$AE$9:$AE$58,'09 - ADOPTION &amp; BENEFITS'!$AF$9:$AF$58,'09 - ADOPTION &amp; BENEFITS'!$AG$9:$AG$58</definedName>
    <definedName name="Clear_10">'10 - RECOVERY'!$A$9:$A$58,'10 - RECOVERY'!$B$9:$B$58,'10 - RECOVERY'!$C$9:$C$58,'10 - RECOVERY'!$D$9:$D$58,'10 - RECOVERY'!$E$9:$E$58,'10 - RECOVERY'!$I$9:$I$58,'10 - RECOVERY'!$J$9:$J$58,'10 - RECOVERY'!$K$9:$K$58,'10 - RECOVERY'!$L$9:$L$58,'10 - RECOVERY'!$M$9:$M$58,'10 - RECOVERY'!$N$9:$N$58,'10 - RECOVERY'!$O$9:$O$58,'10 - RECOVERY'!$P$9:$P$58,'10 - RECOVERY'!$Q$9:$Q$58,'10 - RECOVERY'!$R$9:$R$58,'10 - RECOVERY'!$S$9:$S$58,'10 - RECOVERY'!$T$9:$T$58,'10 - RECOVERY'!$U$9:$U$58,'10 - RECOVERY'!$V$9:$V$58,'10 - RECOVERY'!$W$9:$W$58,'10 - RECOVERY'!$X$9:$X$58,'10 - RECOVERY'!$Y$9:$Y$58,'10 - RECOVERY'!$Z$9:$Z$58,'10 - RECOVERY'!$AA$9:$AA$58,'10 - RECOVERY'!$AB$9:$AB$58,'10 - RECOVERY'!$AC$9:$AC$58,'10 - RECOVERY'!$AD$9:$AD$58,'10 - RECOVERY'!$AE$9:$AE$58,'10 - RECOVERY'!$AF$9:$AF$58,'10 - RECOVERY'!$AG$9:$AG$58,'10 - RECOVERY'!$AH$9:$AH$58,'10 - RECOVERY'!$AI$9:$AI$58,'10 - RECOVERY'!$AJ$9:$AJ$58,'10 - RECOVERY'!$AK$9:$AK$58,'10 - RECOVERY'!$AL$9:$AL$58,'10 - RECOVERY'!$AM$9:$AM$58,'10 - RECOVERY'!$AN$9:$AN$58</definedName>
    <definedName name="Clear_15">'15 - AI DELEGATION'!$A$9:$A$58,'15 - AI DELEGATION'!$B$9:$B$58,'15 - AI DELEGATION'!$C$9:$C$58,'15 - AI DELEGATION'!$D$9:$D$58,'15 - AI DELEGATION'!$E$9:$E$58,'15 - AI DELEGATION'!$I$9:$I$58,'15 - AI DELEGATION'!$J$9:$J$58,'15 - AI DELEGATION'!$K$9:$K$58,'15 - AI DELEGATION'!$L$9:$L$58,'15 - AI DELEGATION'!$M$9:$M$58,'15 - AI DELEGATION'!$N$9:$N$58,'15 - AI DELEGATION'!$O$9:$O$58,'15 - AI DELEGATION'!$P$9:$P$58,'15 - AI DELEGATION'!$Q$9:$Q$58,'15 - AI DELEGATION'!$R$9:$R$58,'15 - AI DELEGATION'!$S$9:$S$58,'15 - AI DELEGATION'!$T$9:$T$58,'15 - AI DELEGATION'!$U$9:$U$58,'15 - AI DELEGATION'!$V$9:$V$58</definedName>
    <definedName name="Clear_History">'14 - REVIEW HISTORY'!$A$9:$J$108</definedName>
    <definedName name="Clear_Steering">'11 - STEERING PACK'!$A$52:$H$61</definedName>
    <definedName name="Commitment">'01 - PROJECT SETUP'!$B$17</definedName>
    <definedName name="Condition">'13 - DATA &amp; LISTS'!$A$9:$A$12</definedName>
    <definedName name="Confidence">'13 - DATA &amp; LISTS'!$C$9:$C$11</definedName>
    <definedName name="Controls">'13 - DATA &amp; LISTS'!$P$9:$P$15</definedName>
    <definedName name="Criticality">'13 - DATA &amp; LISTS'!$E$9:$E$11</definedName>
    <definedName name="DecisionIDs">'04 - DECISION LOG'!$A$9:$A$58</definedName>
    <definedName name="DecisionStatus">'13 - DATA &amp; LISTS'!$F$9:$F$13</definedName>
    <definedName name="DependencyIDs">'05 - DEPENDENCIES'!$A$9:$A$58</definedName>
    <definedName name="Domain">'13 - DATA &amp; LISTS'!$M$9:$M$14</definedName>
    <definedName name="EscDays">'01 - PROJECT SETUP'!$B$23</definedName>
    <definedName name="EvidenceBasis">'13 - DATA &amp; LISTS'!$L$9:$L$12</definedName>
    <definedName name="FreshDays">'01 - PROJECT SETUP'!$B$27</definedName>
    <definedName name="Horizon">'01 - PROJECT SETUP'!$B$16</definedName>
    <definedName name="Misses">'01 - PROJECT SETUP'!$B$24</definedName>
    <definedName name="MoveCount">'01 - PROJECT SETUP'!$B$26</definedName>
    <definedName name="ObservationDays">'01 - PROJECT SETUP'!$B$28</definedName>
    <definedName name="PreviousReview">'01 - PROJECT SETUP'!$B$31</definedName>
    <definedName name="_xlnm.Print_Area" localSheetId="0">'00 - START HERE'!$A$1:$J$62</definedName>
    <definedName name="_xlnm.Print_Area" localSheetId="1">'01 - PROJECT SETUP'!$A$1:$C$36</definedName>
    <definedName name="_xlnm.Print_Area" localSheetId="2">'02 - CONTROL DASHBOARD'!$A$1:$J$51</definedName>
    <definedName name="_xlnm.Print_Area" localSheetId="3">'03 - HEALTH REVIEW'!$A$1:$J$21</definedName>
    <definedName name="_xlnm.Print_Area" localSheetId="4">'04 - DECISION LOG'!$A$1:$J$21</definedName>
    <definedName name="_xlnm.Print_Area" localSheetId="5">'05 - DEPENDENCIES'!$A$1:$J$21</definedName>
    <definedName name="_xlnm.Print_Area" localSheetId="6">'06 - FLOW'!$A$1:$J$21</definedName>
    <definedName name="_xlnm.Print_Area" localSheetId="7">'07 - EVIDENCE &amp; ASSURANCE'!$A$1:$J$21</definedName>
    <definedName name="_xlnm.Print_Area" localSheetId="8">'08 - READINESS'!$A$1:$J$21</definedName>
    <definedName name="_xlnm.Print_Area" localSheetId="9">'09 - ADOPTION &amp; BENEFITS'!$A$1:$J$21</definedName>
    <definedName name="_xlnm.Print_Area" localSheetId="10">'10 - RECOVERY'!$A$1:$J$21</definedName>
    <definedName name="_xlnm.Print_Area" localSheetId="11">'11 - STEERING PACK'!$A$1:$J$61</definedName>
    <definedName name="_xlnm.Print_Area" localSheetId="12">'12 - NEXT ACTIONS'!$A$1:$K$45</definedName>
    <definedName name="_xlnm.Print_Area" localSheetId="13">'13 - DATA &amp; LISTS'!$A$18:$B$25</definedName>
    <definedName name="_xlnm.Print_Area" localSheetId="14">'14 - REVIEW HISTORY'!$A$1:$J$16</definedName>
    <definedName name="_xlnm.Print_Area" localSheetId="15">'15 - AI DELEGATION'!$A$1:$J$21</definedName>
    <definedName name="_xlnm.Print_Titles" localSheetId="2">'02 - CONTROL DASHBOARD'!$8:$8,'02 - CONTROL DASHBOARD'!$A:$B</definedName>
    <definedName name="_xlnm.Print_Titles" localSheetId="3">'03 - HEALTH REVIEW'!$8:$8,'03 - HEALTH REVIEW'!$A:$B</definedName>
    <definedName name="_xlnm.Print_Titles" localSheetId="4">'04 - DECISION LOG'!$8:$8,'04 - DECISION LOG'!$A:$B</definedName>
    <definedName name="_xlnm.Print_Titles" localSheetId="5">'05 - DEPENDENCIES'!$8:$8,'05 - DEPENDENCIES'!$A:$B</definedName>
    <definedName name="_xlnm.Print_Titles" localSheetId="6">'06 - FLOW'!$8:$8,'06 - FLOW'!$A:$B</definedName>
    <definedName name="_xlnm.Print_Titles" localSheetId="7">'07 - EVIDENCE &amp; ASSURANCE'!$8:$8,'07 - EVIDENCE &amp; ASSURANCE'!$A:$B</definedName>
    <definedName name="_xlnm.Print_Titles" localSheetId="8">'08 - READINESS'!$8:$8,'08 - READINESS'!$A:$B</definedName>
    <definedName name="_xlnm.Print_Titles" localSheetId="9">'09 - ADOPTION &amp; BENEFITS'!$8:$8,'09 - ADOPTION &amp; BENEFITS'!$A:$B</definedName>
    <definedName name="_xlnm.Print_Titles" localSheetId="10">'10 - RECOVERY'!$8:$8,'10 - RECOVERY'!$A:$B</definedName>
    <definedName name="_xlnm.Print_Titles" localSheetId="12">'12 - NEXT ACTIONS'!$8:$8,'12 - NEXT ACTIONS'!$A:$B</definedName>
    <definedName name="_xlnm.Print_Titles" localSheetId="14">'14 - REVIEW HISTORY'!$8:$8,'14 - REVIEW HISTORY'!$A:$B</definedName>
    <definedName name="_xlnm.Print_Titles" localSheetId="15">'15 - AI DELEGATION'!$8:$8,'15 - AI DELEGATION'!$A:$B</definedName>
    <definedName name="ReadinessIDs">'08 - READINESS'!$A$9:$A$58</definedName>
    <definedName name="ReadyStatus">'13 - DATA &amp; LISTS'!$H$9:$H$12</definedName>
    <definedName name="RESET">'13 - DATA &amp; LISTS'!$O$9:$O$13</definedName>
    <definedName name="Result">'13 - DATA &amp; LISTS'!$K$9:$K$11</definedName>
    <definedName name="ReviewDate">'01 - PROJECT SETUP'!$B$15</definedName>
    <definedName name="Stage">'13 - DATA &amp; LISTS'!$J$9:$J$12</definedName>
    <definedName name="Trajectory">'13 - DATA &amp; LISTS'!$B$9:$B$12</definedName>
    <definedName name="Upcoming">'01 - PROJECT SETUP'!$B$30</definedName>
    <definedName name="WarnDays">'01 - PROJECT SETUP'!$B$22</definedName>
    <definedName name="WorkStatus">'13 - DATA &amp; LISTS'!$G$9:$G$11</definedName>
    <definedName name="YesNo">'13 - DATA &amp; LISTS'!$D$9:$D$10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6" l="1"/>
  <c r="G58" i="16"/>
  <c r="F58" i="16"/>
  <c r="H57" i="16"/>
  <c r="G57" i="16"/>
  <c r="F57" i="16"/>
  <c r="H56" i="16"/>
  <c r="G56" i="16"/>
  <c r="F56" i="16"/>
  <c r="H55" i="16"/>
  <c r="G55" i="16"/>
  <c r="F55" i="16"/>
  <c r="H54" i="16"/>
  <c r="G54" i="16"/>
  <c r="F54" i="16"/>
  <c r="H53" i="16"/>
  <c r="G53" i="16"/>
  <c r="F53" i="16"/>
  <c r="H52" i="16"/>
  <c r="G52" i="16"/>
  <c r="F52" i="16"/>
  <c r="H51" i="16"/>
  <c r="G51" i="16"/>
  <c r="F51" i="16"/>
  <c r="H50" i="16"/>
  <c r="G50" i="16"/>
  <c r="F50" i="16"/>
  <c r="H49" i="16"/>
  <c r="G49" i="16"/>
  <c r="F49" i="16"/>
  <c r="H48" i="16"/>
  <c r="G48" i="16"/>
  <c r="F48" i="16"/>
  <c r="H47" i="16"/>
  <c r="G47" i="16"/>
  <c r="F47" i="16"/>
  <c r="H46" i="16"/>
  <c r="G46" i="16"/>
  <c r="F46" i="16"/>
  <c r="H45" i="16"/>
  <c r="G45" i="16"/>
  <c r="F45" i="16"/>
  <c r="H44" i="16"/>
  <c r="G44" i="16"/>
  <c r="F44" i="16"/>
  <c r="H43" i="16"/>
  <c r="G43" i="16"/>
  <c r="F43" i="16"/>
  <c r="H42" i="16"/>
  <c r="G42" i="16"/>
  <c r="F42" i="16"/>
  <c r="H41" i="16"/>
  <c r="G41" i="16"/>
  <c r="F41" i="16"/>
  <c r="H40" i="16"/>
  <c r="G40" i="16"/>
  <c r="F40" i="16"/>
  <c r="H39" i="16"/>
  <c r="G39" i="16"/>
  <c r="F39" i="16"/>
  <c r="H38" i="16"/>
  <c r="G38" i="16"/>
  <c r="F38" i="16"/>
  <c r="H37" i="16"/>
  <c r="G37" i="16"/>
  <c r="F37" i="16"/>
  <c r="H36" i="16"/>
  <c r="G36" i="16"/>
  <c r="F36" i="16"/>
  <c r="H35" i="16"/>
  <c r="G35" i="16"/>
  <c r="F35" i="16"/>
  <c r="H34" i="16"/>
  <c r="G34" i="16"/>
  <c r="F34" i="16"/>
  <c r="H33" i="16"/>
  <c r="G33" i="16"/>
  <c r="F33" i="16"/>
  <c r="H32" i="16"/>
  <c r="G32" i="16"/>
  <c r="F32" i="16"/>
  <c r="H31" i="16"/>
  <c r="G31" i="16"/>
  <c r="F31" i="16"/>
  <c r="H30" i="16"/>
  <c r="G30" i="16"/>
  <c r="F30" i="16"/>
  <c r="H29" i="16"/>
  <c r="G29" i="16"/>
  <c r="F29" i="16"/>
  <c r="H28" i="16"/>
  <c r="G28" i="16"/>
  <c r="F28" i="16"/>
  <c r="H27" i="16"/>
  <c r="G27" i="16"/>
  <c r="F27" i="16"/>
  <c r="H26" i="16"/>
  <c r="G26" i="16"/>
  <c r="F26" i="16"/>
  <c r="H25" i="16"/>
  <c r="G25" i="16"/>
  <c r="F25" i="16"/>
  <c r="H24" i="16"/>
  <c r="G24" i="16"/>
  <c r="F24" i="16"/>
  <c r="H23" i="16"/>
  <c r="G23" i="16"/>
  <c r="F23" i="16"/>
  <c r="H22" i="16"/>
  <c r="G22" i="16"/>
  <c r="F22" i="16"/>
  <c r="H21" i="16"/>
  <c r="G21" i="16"/>
  <c r="F21" i="16"/>
  <c r="H20" i="16"/>
  <c r="G20" i="16"/>
  <c r="F20" i="16"/>
  <c r="H19" i="16"/>
  <c r="G19" i="16"/>
  <c r="F19" i="16"/>
  <c r="H18" i="16"/>
  <c r="G18" i="16"/>
  <c r="F18" i="16"/>
  <c r="H17" i="16"/>
  <c r="G17" i="16"/>
  <c r="F17" i="16"/>
  <c r="H16" i="16"/>
  <c r="G16" i="16"/>
  <c r="F16" i="16"/>
  <c r="H15" i="16"/>
  <c r="G15" i="16"/>
  <c r="F15" i="16"/>
  <c r="H14" i="16"/>
  <c r="G14" i="16"/>
  <c r="F14" i="16"/>
  <c r="H13" i="16"/>
  <c r="G13" i="16"/>
  <c r="F13" i="16"/>
  <c r="H12" i="16"/>
  <c r="G12" i="16"/>
  <c r="F12" i="16"/>
  <c r="H11" i="16"/>
  <c r="G11" i="16"/>
  <c r="F11" i="16"/>
  <c r="H10" i="16"/>
  <c r="G10" i="16"/>
  <c r="F10" i="16"/>
  <c r="G9" i="16"/>
  <c r="H9" i="16" s="1"/>
  <c r="AD387" i="14" s="1"/>
  <c r="K6" i="16"/>
  <c r="AJ436" i="14"/>
  <c r="AI436" i="14"/>
  <c r="AH436" i="14"/>
  <c r="AG436" i="14"/>
  <c r="AF436" i="14"/>
  <c r="AE436" i="14"/>
  <c r="AD436" i="14"/>
  <c r="AC436" i="14"/>
  <c r="AR436" i="14" s="1"/>
  <c r="AB436" i="14"/>
  <c r="AA436" i="14"/>
  <c r="Z436" i="14"/>
  <c r="Y436" i="14"/>
  <c r="AJ435" i="14"/>
  <c r="AI435" i="14"/>
  <c r="AH435" i="14"/>
  <c r="AG435" i="14"/>
  <c r="AF435" i="14"/>
  <c r="AE435" i="14"/>
  <c r="AD435" i="14"/>
  <c r="AC435" i="14"/>
  <c r="AR435" i="14" s="1"/>
  <c r="AB435" i="14"/>
  <c r="AA435" i="14"/>
  <c r="Z435" i="14"/>
  <c r="Y435" i="14"/>
  <c r="AR434" i="14"/>
  <c r="AJ434" i="14"/>
  <c r="AI434" i="14"/>
  <c r="AH434" i="14"/>
  <c r="AG434" i="14"/>
  <c r="AF434" i="14"/>
  <c r="AE434" i="14"/>
  <c r="AD434" i="14"/>
  <c r="AC434" i="14"/>
  <c r="AB434" i="14"/>
  <c r="AA434" i="14"/>
  <c r="Z434" i="14"/>
  <c r="Y434" i="14"/>
  <c r="AJ433" i="14"/>
  <c r="AI433" i="14"/>
  <c r="AH433" i="14"/>
  <c r="AG433" i="14"/>
  <c r="AF433" i="14"/>
  <c r="AE433" i="14"/>
  <c r="AD433" i="14"/>
  <c r="AC433" i="14"/>
  <c r="AR433" i="14" s="1"/>
  <c r="AB433" i="14"/>
  <c r="AA433" i="14"/>
  <c r="Z433" i="14"/>
  <c r="Y433" i="14"/>
  <c r="AJ432" i="14"/>
  <c r="AI432" i="14"/>
  <c r="AH432" i="14"/>
  <c r="AG432" i="14"/>
  <c r="AF432" i="14"/>
  <c r="AE432" i="14"/>
  <c r="AD432" i="14"/>
  <c r="AC432" i="14"/>
  <c r="AR432" i="14" s="1"/>
  <c r="AB432" i="14"/>
  <c r="AA432" i="14"/>
  <c r="Z432" i="14"/>
  <c r="Y432" i="14"/>
  <c r="AJ431" i="14"/>
  <c r="AI431" i="14"/>
  <c r="AH431" i="14"/>
  <c r="AG431" i="14"/>
  <c r="AF431" i="14"/>
  <c r="AE431" i="14"/>
  <c r="AD431" i="14"/>
  <c r="AC431" i="14"/>
  <c r="AR431" i="14" s="1"/>
  <c r="AB431" i="14"/>
  <c r="AA431" i="14"/>
  <c r="Z431" i="14"/>
  <c r="Y431" i="14"/>
  <c r="AJ430" i="14"/>
  <c r="AI430" i="14"/>
  <c r="AH430" i="14"/>
  <c r="AG430" i="14"/>
  <c r="AF430" i="14"/>
  <c r="AE430" i="14"/>
  <c r="AD430" i="14"/>
  <c r="AC430" i="14"/>
  <c r="AB430" i="14"/>
  <c r="AA430" i="14"/>
  <c r="Z430" i="14"/>
  <c r="Y430" i="14"/>
  <c r="AJ429" i="14"/>
  <c r="AI429" i="14"/>
  <c r="AH429" i="14"/>
  <c r="AG429" i="14"/>
  <c r="AF429" i="14"/>
  <c r="AE429" i="14"/>
  <c r="AD429" i="14"/>
  <c r="AC429" i="14"/>
  <c r="AR429" i="14" s="1"/>
  <c r="AB429" i="14"/>
  <c r="AA429" i="14"/>
  <c r="Z429" i="14"/>
  <c r="Y429" i="14"/>
  <c r="AJ428" i="14"/>
  <c r="AI428" i="14"/>
  <c r="AH428" i="14"/>
  <c r="AG428" i="14"/>
  <c r="AF428" i="14"/>
  <c r="AE428" i="14"/>
  <c r="AD428" i="14"/>
  <c r="AC428" i="14"/>
  <c r="AR428" i="14" s="1"/>
  <c r="AB428" i="14"/>
  <c r="AA428" i="14"/>
  <c r="Z428" i="14"/>
  <c r="Y428" i="14"/>
  <c r="AJ427" i="14"/>
  <c r="AI427" i="14"/>
  <c r="AH427" i="14"/>
  <c r="AG427" i="14"/>
  <c r="AF427" i="14"/>
  <c r="AE427" i="14"/>
  <c r="AD427" i="14"/>
  <c r="AC427" i="14"/>
  <c r="AR427" i="14" s="1"/>
  <c r="AB427" i="14"/>
  <c r="AA427" i="14"/>
  <c r="Z427" i="14"/>
  <c r="Y427" i="14"/>
  <c r="AJ426" i="14"/>
  <c r="AI426" i="14"/>
  <c r="AH426" i="14"/>
  <c r="AG426" i="14"/>
  <c r="AF426" i="14"/>
  <c r="AE426" i="14"/>
  <c r="AD426" i="14"/>
  <c r="AC426" i="14"/>
  <c r="AB426" i="14"/>
  <c r="AA426" i="14"/>
  <c r="Z426" i="14"/>
  <c r="Y426" i="14"/>
  <c r="AJ425" i="14"/>
  <c r="AI425" i="14"/>
  <c r="AH425" i="14"/>
  <c r="AG425" i="14"/>
  <c r="AF425" i="14"/>
  <c r="AE425" i="14"/>
  <c r="AD425" i="14"/>
  <c r="AC425" i="14"/>
  <c r="AR425" i="14" s="1"/>
  <c r="AB425" i="14"/>
  <c r="AA425" i="14"/>
  <c r="Z425" i="14"/>
  <c r="Y425" i="14"/>
  <c r="AJ424" i="14"/>
  <c r="AI424" i="14"/>
  <c r="AH424" i="14"/>
  <c r="AG424" i="14"/>
  <c r="AF424" i="14"/>
  <c r="AE424" i="14"/>
  <c r="AD424" i="14"/>
  <c r="AC424" i="14"/>
  <c r="AR424" i="14" s="1"/>
  <c r="AB424" i="14"/>
  <c r="AA424" i="14"/>
  <c r="Z424" i="14"/>
  <c r="Y424" i="14"/>
  <c r="AJ423" i="14"/>
  <c r="AI423" i="14"/>
  <c r="AH423" i="14"/>
  <c r="AG423" i="14"/>
  <c r="AF423" i="14"/>
  <c r="AE423" i="14"/>
  <c r="AD423" i="14"/>
  <c r="AC423" i="14"/>
  <c r="AR423" i="14" s="1"/>
  <c r="AB423" i="14"/>
  <c r="AA423" i="14"/>
  <c r="Z423" i="14"/>
  <c r="Y423" i="14"/>
  <c r="AJ422" i="14"/>
  <c r="AI422" i="14"/>
  <c r="AH422" i="14"/>
  <c r="AG422" i="14"/>
  <c r="AF422" i="14"/>
  <c r="AE422" i="14"/>
  <c r="AD422" i="14"/>
  <c r="AC422" i="14"/>
  <c r="AR422" i="14" s="1"/>
  <c r="AB422" i="14"/>
  <c r="AA422" i="14"/>
  <c r="Z422" i="14"/>
  <c r="Y422" i="14"/>
  <c r="AJ421" i="14"/>
  <c r="AI421" i="14"/>
  <c r="AH421" i="14"/>
  <c r="AG421" i="14"/>
  <c r="AF421" i="14"/>
  <c r="AE421" i="14"/>
  <c r="AD421" i="14"/>
  <c r="AC421" i="14"/>
  <c r="AR421" i="14" s="1"/>
  <c r="AB421" i="14"/>
  <c r="AA421" i="14"/>
  <c r="Z421" i="14"/>
  <c r="Y421" i="14"/>
  <c r="AJ420" i="14"/>
  <c r="AI420" i="14"/>
  <c r="AH420" i="14"/>
  <c r="AG420" i="14"/>
  <c r="AF420" i="14"/>
  <c r="AE420" i="14"/>
  <c r="AD420" i="14"/>
  <c r="AC420" i="14"/>
  <c r="AR420" i="14" s="1"/>
  <c r="AB420" i="14"/>
  <c r="AA420" i="14"/>
  <c r="Z420" i="14"/>
  <c r="Y420" i="14"/>
  <c r="AJ419" i="14"/>
  <c r="AI419" i="14"/>
  <c r="AH419" i="14"/>
  <c r="AG419" i="14"/>
  <c r="AF419" i="14"/>
  <c r="AE419" i="14"/>
  <c r="AD419" i="14"/>
  <c r="AC419" i="14"/>
  <c r="AR419" i="14" s="1"/>
  <c r="AB419" i="14"/>
  <c r="AA419" i="14"/>
  <c r="Z419" i="14"/>
  <c r="Y419" i="14"/>
  <c r="AR418" i="14"/>
  <c r="AJ418" i="14"/>
  <c r="AI418" i="14"/>
  <c r="AH418" i="14"/>
  <c r="AG418" i="14"/>
  <c r="AF418" i="14"/>
  <c r="AE418" i="14"/>
  <c r="AD418" i="14"/>
  <c r="AC418" i="14"/>
  <c r="AB418" i="14"/>
  <c r="AA418" i="14"/>
  <c r="Z418" i="14"/>
  <c r="Y418" i="14"/>
  <c r="AJ417" i="14"/>
  <c r="AI417" i="14"/>
  <c r="AH417" i="14"/>
  <c r="AG417" i="14"/>
  <c r="AF417" i="14"/>
  <c r="AE417" i="14"/>
  <c r="AD417" i="14"/>
  <c r="AC417" i="14"/>
  <c r="AR417" i="14" s="1"/>
  <c r="AB417" i="14"/>
  <c r="AA417" i="14"/>
  <c r="Z417" i="14"/>
  <c r="Y417" i="14"/>
  <c r="AJ416" i="14"/>
  <c r="AI416" i="14"/>
  <c r="AH416" i="14"/>
  <c r="AG416" i="14"/>
  <c r="AF416" i="14"/>
  <c r="AE416" i="14"/>
  <c r="AD416" i="14"/>
  <c r="AC416" i="14"/>
  <c r="AR416" i="14" s="1"/>
  <c r="AB416" i="14"/>
  <c r="AA416" i="14"/>
  <c r="Z416" i="14"/>
  <c r="Y416" i="14"/>
  <c r="AJ415" i="14"/>
  <c r="AI415" i="14"/>
  <c r="AH415" i="14"/>
  <c r="AG415" i="14"/>
  <c r="AF415" i="14"/>
  <c r="AE415" i="14"/>
  <c r="AD415" i="14"/>
  <c r="AC415" i="14"/>
  <c r="AR415" i="14" s="1"/>
  <c r="AB415" i="14"/>
  <c r="AA415" i="14"/>
  <c r="Z415" i="14"/>
  <c r="Y415" i="14"/>
  <c r="AJ414" i="14"/>
  <c r="AI414" i="14"/>
  <c r="AH414" i="14"/>
  <c r="AG414" i="14"/>
  <c r="AF414" i="14"/>
  <c r="AE414" i="14"/>
  <c r="AD414" i="14"/>
  <c r="AC414" i="14"/>
  <c r="AR414" i="14" s="1"/>
  <c r="AB414" i="14"/>
  <c r="AA414" i="14"/>
  <c r="Z414" i="14"/>
  <c r="Y414" i="14"/>
  <c r="AJ413" i="14"/>
  <c r="AI413" i="14"/>
  <c r="AH413" i="14"/>
  <c r="AG413" i="14"/>
  <c r="AF413" i="14"/>
  <c r="AE413" i="14"/>
  <c r="AD413" i="14"/>
  <c r="AC413" i="14"/>
  <c r="AR413" i="14" s="1"/>
  <c r="AB413" i="14"/>
  <c r="AA413" i="14"/>
  <c r="Z413" i="14"/>
  <c r="Y413" i="14"/>
  <c r="AJ412" i="14"/>
  <c r="AI412" i="14"/>
  <c r="AH412" i="14"/>
  <c r="AG412" i="14"/>
  <c r="AF412" i="14"/>
  <c r="AE412" i="14"/>
  <c r="AD412" i="14"/>
  <c r="AC412" i="14"/>
  <c r="AR412" i="14" s="1"/>
  <c r="AB412" i="14"/>
  <c r="AA412" i="14"/>
  <c r="Z412" i="14"/>
  <c r="Y412" i="14"/>
  <c r="AJ411" i="14"/>
  <c r="AI411" i="14"/>
  <c r="AH411" i="14"/>
  <c r="AG411" i="14"/>
  <c r="AF411" i="14"/>
  <c r="AE411" i="14"/>
  <c r="AD411" i="14"/>
  <c r="AC411" i="14"/>
  <c r="AR411" i="14" s="1"/>
  <c r="AB411" i="14"/>
  <c r="AA411" i="14"/>
  <c r="Z411" i="14"/>
  <c r="Y411" i="14"/>
  <c r="AJ410" i="14"/>
  <c r="AI410" i="14"/>
  <c r="AH410" i="14"/>
  <c r="AG410" i="14"/>
  <c r="AF410" i="14"/>
  <c r="AE410" i="14"/>
  <c r="AD410" i="14"/>
  <c r="AC410" i="14"/>
  <c r="AR410" i="14" s="1"/>
  <c r="AB410" i="14"/>
  <c r="AA410" i="14"/>
  <c r="Z410" i="14"/>
  <c r="Y410" i="14"/>
  <c r="AJ409" i="14"/>
  <c r="AI409" i="14"/>
  <c r="AH409" i="14"/>
  <c r="AG409" i="14"/>
  <c r="AF409" i="14"/>
  <c r="AE409" i="14"/>
  <c r="AD409" i="14"/>
  <c r="AC409" i="14"/>
  <c r="AR409" i="14" s="1"/>
  <c r="AB409" i="14"/>
  <c r="AA409" i="14"/>
  <c r="Z409" i="14"/>
  <c r="Y409" i="14"/>
  <c r="AJ408" i="14"/>
  <c r="AI408" i="14"/>
  <c r="AH408" i="14"/>
  <c r="AG408" i="14"/>
  <c r="AF408" i="14"/>
  <c r="AE408" i="14"/>
  <c r="AD408" i="14"/>
  <c r="AC408" i="14"/>
  <c r="AR408" i="14" s="1"/>
  <c r="AB408" i="14"/>
  <c r="AA408" i="14"/>
  <c r="Z408" i="14"/>
  <c r="Y408" i="14"/>
  <c r="AJ407" i="14"/>
  <c r="AI407" i="14"/>
  <c r="AH407" i="14"/>
  <c r="AG407" i="14"/>
  <c r="AF407" i="14"/>
  <c r="AE407" i="14"/>
  <c r="AD407" i="14"/>
  <c r="AC407" i="14"/>
  <c r="AR407" i="14" s="1"/>
  <c r="AB407" i="14"/>
  <c r="AA407" i="14"/>
  <c r="Z407" i="14"/>
  <c r="Y407" i="14"/>
  <c r="AJ406" i="14"/>
  <c r="AI406" i="14"/>
  <c r="AH406" i="14"/>
  <c r="AG406" i="14"/>
  <c r="AF406" i="14"/>
  <c r="AE406" i="14"/>
  <c r="AD406" i="14"/>
  <c r="AC406" i="14"/>
  <c r="AR406" i="14" s="1"/>
  <c r="AB406" i="14"/>
  <c r="AA406" i="14"/>
  <c r="Z406" i="14"/>
  <c r="Y406" i="14"/>
  <c r="AR405" i="14"/>
  <c r="AK405" i="14"/>
  <c r="AJ405" i="14"/>
  <c r="AI405" i="14"/>
  <c r="AH405" i="14"/>
  <c r="AG405" i="14"/>
  <c r="AF405" i="14"/>
  <c r="AE405" i="14"/>
  <c r="AD405" i="14"/>
  <c r="AC405" i="14"/>
  <c r="AB405" i="14"/>
  <c r="AA405" i="14"/>
  <c r="Z405" i="14"/>
  <c r="Y405" i="14"/>
  <c r="AJ404" i="14"/>
  <c r="AI404" i="14"/>
  <c r="AH404" i="14"/>
  <c r="AG404" i="14"/>
  <c r="AF404" i="14"/>
  <c r="AE404" i="14"/>
  <c r="AD404" i="14"/>
  <c r="AC404" i="14"/>
  <c r="AR404" i="14" s="1"/>
  <c r="AB404" i="14"/>
  <c r="AA404" i="14"/>
  <c r="Z404" i="14"/>
  <c r="Y404" i="14"/>
  <c r="AJ403" i="14"/>
  <c r="AI403" i="14"/>
  <c r="AH403" i="14"/>
  <c r="AG403" i="14"/>
  <c r="AF403" i="14"/>
  <c r="AE403" i="14"/>
  <c r="AD403" i="14"/>
  <c r="AC403" i="14"/>
  <c r="AR403" i="14" s="1"/>
  <c r="AB403" i="14"/>
  <c r="AA403" i="14"/>
  <c r="Z403" i="14"/>
  <c r="Y403" i="14"/>
  <c r="AR402" i="14"/>
  <c r="AJ402" i="14"/>
  <c r="AI402" i="14"/>
  <c r="AH402" i="14"/>
  <c r="AG402" i="14"/>
  <c r="AF402" i="14"/>
  <c r="AE402" i="14"/>
  <c r="AD402" i="14"/>
  <c r="AC402" i="14"/>
  <c r="AB402" i="14"/>
  <c r="AA402" i="14"/>
  <c r="Z402" i="14"/>
  <c r="Y402" i="14"/>
  <c r="AJ401" i="14"/>
  <c r="AI401" i="14"/>
  <c r="AH401" i="14"/>
  <c r="AG401" i="14"/>
  <c r="AF401" i="14"/>
  <c r="AE401" i="14"/>
  <c r="AD401" i="14"/>
  <c r="AC401" i="14"/>
  <c r="AR401" i="14" s="1"/>
  <c r="AB401" i="14"/>
  <c r="AA401" i="14"/>
  <c r="Z401" i="14"/>
  <c r="Y401" i="14"/>
  <c r="AJ400" i="14"/>
  <c r="AI400" i="14"/>
  <c r="AH400" i="14"/>
  <c r="AG400" i="14"/>
  <c r="AF400" i="14"/>
  <c r="AE400" i="14"/>
  <c r="AD400" i="14"/>
  <c r="AC400" i="14"/>
  <c r="AR400" i="14" s="1"/>
  <c r="AB400" i="14"/>
  <c r="AA400" i="14"/>
  <c r="Z400" i="14"/>
  <c r="Y400" i="14"/>
  <c r="AJ399" i="14"/>
  <c r="AI399" i="14"/>
  <c r="AH399" i="14"/>
  <c r="AG399" i="14"/>
  <c r="AF399" i="14"/>
  <c r="AE399" i="14"/>
  <c r="AD399" i="14"/>
  <c r="AC399" i="14"/>
  <c r="AR399" i="14" s="1"/>
  <c r="AB399" i="14"/>
  <c r="AA399" i="14"/>
  <c r="Z399" i="14"/>
  <c r="Y399" i="14"/>
  <c r="AJ398" i="14"/>
  <c r="AI398" i="14"/>
  <c r="AH398" i="14"/>
  <c r="AG398" i="14"/>
  <c r="AF398" i="14"/>
  <c r="AE398" i="14"/>
  <c r="AD398" i="14"/>
  <c r="AC398" i="14"/>
  <c r="AB398" i="14"/>
  <c r="AA398" i="14"/>
  <c r="Z398" i="14"/>
  <c r="Y398" i="14"/>
  <c r="AJ397" i="14"/>
  <c r="AI397" i="14"/>
  <c r="AH397" i="14"/>
  <c r="AG397" i="14"/>
  <c r="AF397" i="14"/>
  <c r="AE397" i="14"/>
  <c r="AD397" i="14"/>
  <c r="AC397" i="14"/>
  <c r="AR397" i="14" s="1"/>
  <c r="AB397" i="14"/>
  <c r="AA397" i="14"/>
  <c r="Z397" i="14"/>
  <c r="Y397" i="14"/>
  <c r="AJ396" i="14"/>
  <c r="AI396" i="14"/>
  <c r="AH396" i="14"/>
  <c r="AG396" i="14"/>
  <c r="AF396" i="14"/>
  <c r="AE396" i="14"/>
  <c r="AD396" i="14"/>
  <c r="AC396" i="14"/>
  <c r="AR396" i="14" s="1"/>
  <c r="AB396" i="14"/>
  <c r="AA396" i="14"/>
  <c r="Z396" i="14"/>
  <c r="Y396" i="14"/>
  <c r="AJ395" i="14"/>
  <c r="AI395" i="14"/>
  <c r="AH395" i="14"/>
  <c r="AG395" i="14"/>
  <c r="AF395" i="14"/>
  <c r="AE395" i="14"/>
  <c r="AD395" i="14"/>
  <c r="AC395" i="14"/>
  <c r="AR395" i="14" s="1"/>
  <c r="AB395" i="14"/>
  <c r="AA395" i="14"/>
  <c r="Z395" i="14"/>
  <c r="Y395" i="14"/>
  <c r="AJ394" i="14"/>
  <c r="AI394" i="14"/>
  <c r="AH394" i="14"/>
  <c r="AG394" i="14"/>
  <c r="AF394" i="14"/>
  <c r="AE394" i="14"/>
  <c r="AD394" i="14"/>
  <c r="AC394" i="14"/>
  <c r="AB394" i="14"/>
  <c r="AA394" i="14"/>
  <c r="Z394" i="14"/>
  <c r="Y394" i="14"/>
  <c r="AJ393" i="14"/>
  <c r="AI393" i="14"/>
  <c r="AH393" i="14"/>
  <c r="AG393" i="14"/>
  <c r="AF393" i="14"/>
  <c r="AE393" i="14"/>
  <c r="AD393" i="14"/>
  <c r="AC393" i="14"/>
  <c r="AB393" i="14"/>
  <c r="AA393" i="14"/>
  <c r="Z393" i="14"/>
  <c r="Y393" i="14"/>
  <c r="AJ392" i="14"/>
  <c r="AI392" i="14"/>
  <c r="AH392" i="14"/>
  <c r="AG392" i="14"/>
  <c r="AF392" i="14"/>
  <c r="AE392" i="14"/>
  <c r="AD392" i="14"/>
  <c r="AC392" i="14"/>
  <c r="AR392" i="14" s="1"/>
  <c r="AB392" i="14"/>
  <c r="AA392" i="14"/>
  <c r="Z392" i="14"/>
  <c r="Y392" i="14"/>
  <c r="AJ391" i="14"/>
  <c r="AI391" i="14"/>
  <c r="AH391" i="14"/>
  <c r="AG391" i="14"/>
  <c r="AF391" i="14"/>
  <c r="AE391" i="14"/>
  <c r="AD391" i="14"/>
  <c r="AC391" i="14"/>
  <c r="AR391" i="14" s="1"/>
  <c r="AB391" i="14"/>
  <c r="AA391" i="14"/>
  <c r="Z391" i="14"/>
  <c r="Y391" i="14"/>
  <c r="AJ390" i="14"/>
  <c r="AI390" i="14"/>
  <c r="AH390" i="14"/>
  <c r="AG390" i="14"/>
  <c r="AF390" i="14"/>
  <c r="AE390" i="14"/>
  <c r="AD390" i="14"/>
  <c r="AC390" i="14"/>
  <c r="AB390" i="14"/>
  <c r="AA390" i="14"/>
  <c r="Z390" i="14"/>
  <c r="Y390" i="14"/>
  <c r="AJ389" i="14"/>
  <c r="AI389" i="14"/>
  <c r="AH389" i="14"/>
  <c r="AG389" i="14"/>
  <c r="AF389" i="14"/>
  <c r="AE389" i="14"/>
  <c r="AD389" i="14"/>
  <c r="AC389" i="14"/>
  <c r="AR389" i="14" s="1"/>
  <c r="AB389" i="14"/>
  <c r="AA389" i="14"/>
  <c r="Z389" i="14"/>
  <c r="Y389" i="14"/>
  <c r="AJ388" i="14"/>
  <c r="AI388" i="14"/>
  <c r="AH388" i="14"/>
  <c r="AG388" i="14"/>
  <c r="AF388" i="14"/>
  <c r="AE388" i="14"/>
  <c r="AD388" i="14"/>
  <c r="AC388" i="14"/>
  <c r="AR388" i="14" s="1"/>
  <c r="AB388" i="14"/>
  <c r="AA388" i="14"/>
  <c r="Z388" i="14"/>
  <c r="Y388" i="14"/>
  <c r="AJ387" i="14"/>
  <c r="AI387" i="14"/>
  <c r="AH387" i="14"/>
  <c r="AG387" i="14"/>
  <c r="AF387" i="14"/>
  <c r="AE387" i="14"/>
  <c r="AB387" i="14"/>
  <c r="AA387" i="14"/>
  <c r="Z387" i="14"/>
  <c r="AJ386" i="14"/>
  <c r="AI386" i="14"/>
  <c r="AH386" i="14"/>
  <c r="AG386" i="14"/>
  <c r="AF386" i="14"/>
  <c r="AE386" i="14"/>
  <c r="AD386" i="14"/>
  <c r="AC386" i="14"/>
  <c r="AR386" i="14" s="1"/>
  <c r="AB386" i="14"/>
  <c r="AA386" i="14"/>
  <c r="Z386" i="14"/>
  <c r="Y386" i="14"/>
  <c r="AJ385" i="14"/>
  <c r="AI385" i="14"/>
  <c r="AH385" i="14"/>
  <c r="AG385" i="14"/>
  <c r="AF385" i="14"/>
  <c r="AE385" i="14"/>
  <c r="AD385" i="14"/>
  <c r="AC385" i="14"/>
  <c r="AR385" i="14" s="1"/>
  <c r="AB385" i="14"/>
  <c r="AA385" i="14"/>
  <c r="Z385" i="14"/>
  <c r="Y385" i="14"/>
  <c r="AJ384" i="14"/>
  <c r="AI384" i="14"/>
  <c r="AH384" i="14"/>
  <c r="AG384" i="14"/>
  <c r="AF384" i="14"/>
  <c r="AE384" i="14"/>
  <c r="AD384" i="14"/>
  <c r="AC384" i="14"/>
  <c r="AR384" i="14" s="1"/>
  <c r="AB384" i="14"/>
  <c r="AA384" i="14"/>
  <c r="Z384" i="14"/>
  <c r="Y384" i="14"/>
  <c r="AJ383" i="14"/>
  <c r="AI383" i="14"/>
  <c r="AH383" i="14"/>
  <c r="AG383" i="14"/>
  <c r="AF383" i="14"/>
  <c r="AE383" i="14"/>
  <c r="AD383" i="14"/>
  <c r="AC383" i="14"/>
  <c r="AR383" i="14" s="1"/>
  <c r="AB383" i="14"/>
  <c r="AA383" i="14"/>
  <c r="Z383" i="14"/>
  <c r="Y383" i="14"/>
  <c r="AJ382" i="14"/>
  <c r="AI382" i="14"/>
  <c r="AH382" i="14"/>
  <c r="AG382" i="14"/>
  <c r="AF382" i="14"/>
  <c r="AE382" i="14"/>
  <c r="AD382" i="14"/>
  <c r="AC382" i="14"/>
  <c r="AR382" i="14" s="1"/>
  <c r="AB382" i="14"/>
  <c r="AA382" i="14"/>
  <c r="Z382" i="14"/>
  <c r="Y382" i="14"/>
  <c r="AJ381" i="14"/>
  <c r="AI381" i="14"/>
  <c r="AH381" i="14"/>
  <c r="AG381" i="14"/>
  <c r="AF381" i="14"/>
  <c r="AE381" i="14"/>
  <c r="AD381" i="14"/>
  <c r="AC381" i="14"/>
  <c r="AR381" i="14" s="1"/>
  <c r="AB381" i="14"/>
  <c r="AA381" i="14"/>
  <c r="Z381" i="14"/>
  <c r="Y381" i="14"/>
  <c r="AJ380" i="14"/>
  <c r="AI380" i="14"/>
  <c r="AH380" i="14"/>
  <c r="AG380" i="14"/>
  <c r="AF380" i="14"/>
  <c r="AE380" i="14"/>
  <c r="AD380" i="14"/>
  <c r="AC380" i="14"/>
  <c r="AR380" i="14" s="1"/>
  <c r="AB380" i="14"/>
  <c r="AA380" i="14"/>
  <c r="Z380" i="14"/>
  <c r="Y380" i="14"/>
  <c r="AJ379" i="14"/>
  <c r="AI379" i="14"/>
  <c r="AH379" i="14"/>
  <c r="AG379" i="14"/>
  <c r="AF379" i="14"/>
  <c r="AE379" i="14"/>
  <c r="AD379" i="14"/>
  <c r="AC379" i="14"/>
  <c r="AR379" i="14" s="1"/>
  <c r="AB379" i="14"/>
  <c r="AA379" i="14"/>
  <c r="Z379" i="14"/>
  <c r="Y379" i="14"/>
  <c r="AJ378" i="14"/>
  <c r="AI378" i="14"/>
  <c r="AH378" i="14"/>
  <c r="AG378" i="14"/>
  <c r="AF378" i="14"/>
  <c r="AE378" i="14"/>
  <c r="AD378" i="14"/>
  <c r="AC378" i="14"/>
  <c r="AR378" i="14" s="1"/>
  <c r="AB378" i="14"/>
  <c r="AA378" i="14"/>
  <c r="Z378" i="14"/>
  <c r="Y378" i="14"/>
  <c r="AJ377" i="14"/>
  <c r="AI377" i="14"/>
  <c r="AH377" i="14"/>
  <c r="AG377" i="14"/>
  <c r="AF377" i="14"/>
  <c r="AE377" i="14"/>
  <c r="AD377" i="14"/>
  <c r="AC377" i="14"/>
  <c r="AR377" i="14" s="1"/>
  <c r="AB377" i="14"/>
  <c r="AA377" i="14"/>
  <c r="Z377" i="14"/>
  <c r="Y377" i="14"/>
  <c r="AJ376" i="14"/>
  <c r="AI376" i="14"/>
  <c r="AH376" i="14"/>
  <c r="AG376" i="14"/>
  <c r="AF376" i="14"/>
  <c r="AE376" i="14"/>
  <c r="AD376" i="14"/>
  <c r="AC376" i="14"/>
  <c r="AR376" i="14" s="1"/>
  <c r="AB376" i="14"/>
  <c r="AA376" i="14"/>
  <c r="Z376" i="14"/>
  <c r="Y376" i="14"/>
  <c r="AJ375" i="14"/>
  <c r="AI375" i="14"/>
  <c r="AH375" i="14"/>
  <c r="AG375" i="14"/>
  <c r="AF375" i="14"/>
  <c r="AE375" i="14"/>
  <c r="AD375" i="14"/>
  <c r="AC375" i="14"/>
  <c r="AR375" i="14" s="1"/>
  <c r="AB375" i="14"/>
  <c r="AA375" i="14"/>
  <c r="Z375" i="14"/>
  <c r="Y375" i="14"/>
  <c r="AJ374" i="14"/>
  <c r="AI374" i="14"/>
  <c r="AH374" i="14"/>
  <c r="AG374" i="14"/>
  <c r="AF374" i="14"/>
  <c r="AE374" i="14"/>
  <c r="AD374" i="14"/>
  <c r="AC374" i="14"/>
  <c r="AR374" i="14" s="1"/>
  <c r="AB374" i="14"/>
  <c r="AA374" i="14"/>
  <c r="Z374" i="14"/>
  <c r="Y374" i="14"/>
  <c r="AR373" i="14"/>
  <c r="AJ373" i="14"/>
  <c r="AI373" i="14"/>
  <c r="AH373" i="14"/>
  <c r="AG373" i="14"/>
  <c r="AF373" i="14"/>
  <c r="AE373" i="14"/>
  <c r="AD373" i="14"/>
  <c r="AC373" i="14"/>
  <c r="AB373" i="14"/>
  <c r="AA373" i="14"/>
  <c r="Z373" i="14"/>
  <c r="Y373" i="14"/>
  <c r="AJ372" i="14"/>
  <c r="AI372" i="14"/>
  <c r="AH372" i="14"/>
  <c r="AG372" i="14"/>
  <c r="AF372" i="14"/>
  <c r="AE372" i="14"/>
  <c r="AD372" i="14"/>
  <c r="AC372" i="14"/>
  <c r="AR372" i="14" s="1"/>
  <c r="AB372" i="14"/>
  <c r="AA372" i="14"/>
  <c r="Z372" i="14"/>
  <c r="Y372" i="14"/>
  <c r="AJ371" i="14"/>
  <c r="AI371" i="14"/>
  <c r="AH371" i="14"/>
  <c r="AG371" i="14"/>
  <c r="AF371" i="14"/>
  <c r="AE371" i="14"/>
  <c r="AD371" i="14"/>
  <c r="AC371" i="14"/>
  <c r="AR371" i="14" s="1"/>
  <c r="AB371" i="14"/>
  <c r="AA371" i="14"/>
  <c r="Z371" i="14"/>
  <c r="Y371" i="14"/>
  <c r="AR370" i="14"/>
  <c r="AJ370" i="14"/>
  <c r="AI370" i="14"/>
  <c r="AH370" i="14"/>
  <c r="AG370" i="14"/>
  <c r="AF370" i="14"/>
  <c r="AE370" i="14"/>
  <c r="AD370" i="14"/>
  <c r="AC370" i="14"/>
  <c r="AB370" i="14"/>
  <c r="AA370" i="14"/>
  <c r="Z370" i="14"/>
  <c r="Y370" i="14"/>
  <c r="AJ369" i="14"/>
  <c r="AI369" i="14"/>
  <c r="AH369" i="14"/>
  <c r="AG369" i="14"/>
  <c r="AF369" i="14"/>
  <c r="AE369" i="14"/>
  <c r="AD369" i="14"/>
  <c r="AC369" i="14"/>
  <c r="AR369" i="14" s="1"/>
  <c r="AB369" i="14"/>
  <c r="AA369" i="14"/>
  <c r="Z369" i="14"/>
  <c r="Y369" i="14"/>
  <c r="AJ368" i="14"/>
  <c r="AI368" i="14"/>
  <c r="AH368" i="14"/>
  <c r="AG368" i="14"/>
  <c r="AF368" i="14"/>
  <c r="AE368" i="14"/>
  <c r="AD368" i="14"/>
  <c r="AC368" i="14"/>
  <c r="AR368" i="14" s="1"/>
  <c r="AB368" i="14"/>
  <c r="AA368" i="14"/>
  <c r="Z368" i="14"/>
  <c r="Y368" i="14"/>
  <c r="AJ367" i="14"/>
  <c r="AI367" i="14"/>
  <c r="AH367" i="14"/>
  <c r="AG367" i="14"/>
  <c r="AF367" i="14"/>
  <c r="AE367" i="14"/>
  <c r="AD367" i="14"/>
  <c r="AC367" i="14"/>
  <c r="AR367" i="14" s="1"/>
  <c r="AB367" i="14"/>
  <c r="AA367" i="14"/>
  <c r="Z367" i="14"/>
  <c r="Y367" i="14"/>
  <c r="AJ366" i="14"/>
  <c r="AI366" i="14"/>
  <c r="AH366" i="14"/>
  <c r="AG366" i="14"/>
  <c r="AF366" i="14"/>
  <c r="AE366" i="14"/>
  <c r="AD366" i="14"/>
  <c r="AC366" i="14"/>
  <c r="AR366" i="14" s="1"/>
  <c r="AB366" i="14"/>
  <c r="AA366" i="14"/>
  <c r="Z366" i="14"/>
  <c r="Y366" i="14"/>
  <c r="AJ365" i="14"/>
  <c r="AI365" i="14"/>
  <c r="AH365" i="14"/>
  <c r="AG365" i="14"/>
  <c r="AF365" i="14"/>
  <c r="AE365" i="14"/>
  <c r="AD365" i="14"/>
  <c r="AC365" i="14"/>
  <c r="AR365" i="14" s="1"/>
  <c r="AB365" i="14"/>
  <c r="AA365" i="14"/>
  <c r="Z365" i="14"/>
  <c r="Y365" i="14"/>
  <c r="AJ364" i="14"/>
  <c r="AI364" i="14"/>
  <c r="AH364" i="14"/>
  <c r="AG364" i="14"/>
  <c r="AF364" i="14"/>
  <c r="AE364" i="14"/>
  <c r="AD364" i="14"/>
  <c r="AC364" i="14"/>
  <c r="AR364" i="14" s="1"/>
  <c r="AB364" i="14"/>
  <c r="AA364" i="14"/>
  <c r="Z364" i="14"/>
  <c r="Y364" i="14"/>
  <c r="AJ363" i="14"/>
  <c r="AI363" i="14"/>
  <c r="AH363" i="14"/>
  <c r="AG363" i="14"/>
  <c r="AF363" i="14"/>
  <c r="AE363" i="14"/>
  <c r="AD363" i="14"/>
  <c r="AC363" i="14"/>
  <c r="AR363" i="14" s="1"/>
  <c r="AB363" i="14"/>
  <c r="AA363" i="14"/>
  <c r="Z363" i="14"/>
  <c r="Y363" i="14"/>
  <c r="AJ362" i="14"/>
  <c r="AI362" i="14"/>
  <c r="AH362" i="14"/>
  <c r="AG362" i="14"/>
  <c r="AF362" i="14"/>
  <c r="AE362" i="14"/>
  <c r="AD362" i="14"/>
  <c r="AC362" i="14"/>
  <c r="AR362" i="14" s="1"/>
  <c r="AB362" i="14"/>
  <c r="AA362" i="14"/>
  <c r="Z362" i="14"/>
  <c r="Y362" i="14"/>
  <c r="AJ361" i="14"/>
  <c r="AI361" i="14"/>
  <c r="AH361" i="14"/>
  <c r="AG361" i="14"/>
  <c r="AF361" i="14"/>
  <c r="AE361" i="14"/>
  <c r="AD361" i="14"/>
  <c r="AC361" i="14"/>
  <c r="AR361" i="14" s="1"/>
  <c r="AB361" i="14"/>
  <c r="AA361" i="14"/>
  <c r="Z361" i="14"/>
  <c r="Y361" i="14"/>
  <c r="AJ360" i="14"/>
  <c r="AI360" i="14"/>
  <c r="AH360" i="14"/>
  <c r="AG360" i="14"/>
  <c r="AF360" i="14"/>
  <c r="AE360" i="14"/>
  <c r="AD360" i="14"/>
  <c r="AC360" i="14"/>
  <c r="AR360" i="14" s="1"/>
  <c r="AB360" i="14"/>
  <c r="AA360" i="14"/>
  <c r="Z360" i="14"/>
  <c r="Y360" i="14"/>
  <c r="AJ359" i="14"/>
  <c r="AI359" i="14"/>
  <c r="AH359" i="14"/>
  <c r="AG359" i="14"/>
  <c r="AF359" i="14"/>
  <c r="AE359" i="14"/>
  <c r="AD359" i="14"/>
  <c r="AC359" i="14"/>
  <c r="AR359" i="14" s="1"/>
  <c r="AB359" i="14"/>
  <c r="AA359" i="14"/>
  <c r="Z359" i="14"/>
  <c r="Y359" i="14"/>
  <c r="AJ358" i="14"/>
  <c r="AI358" i="14"/>
  <c r="AH358" i="14"/>
  <c r="AG358" i="14"/>
  <c r="AF358" i="14"/>
  <c r="AE358" i="14"/>
  <c r="AD358" i="14"/>
  <c r="AC358" i="14"/>
  <c r="AR358" i="14" s="1"/>
  <c r="AB358" i="14"/>
  <c r="AA358" i="14"/>
  <c r="Z358" i="14"/>
  <c r="Y358" i="14"/>
  <c r="AJ357" i="14"/>
  <c r="AI357" i="14"/>
  <c r="AH357" i="14"/>
  <c r="AG357" i="14"/>
  <c r="AF357" i="14"/>
  <c r="AE357" i="14"/>
  <c r="AD357" i="14"/>
  <c r="AC357" i="14"/>
  <c r="AR357" i="14" s="1"/>
  <c r="AB357" i="14"/>
  <c r="AA357" i="14"/>
  <c r="Z357" i="14"/>
  <c r="Y357" i="14"/>
  <c r="AJ356" i="14"/>
  <c r="AI356" i="14"/>
  <c r="AH356" i="14"/>
  <c r="AG356" i="14"/>
  <c r="AF356" i="14"/>
  <c r="AE356" i="14"/>
  <c r="AD356" i="14"/>
  <c r="AC356" i="14"/>
  <c r="AR356" i="14" s="1"/>
  <c r="AB356" i="14"/>
  <c r="AA356" i="14"/>
  <c r="Z356" i="14"/>
  <c r="Y356" i="14"/>
  <c r="AJ355" i="14"/>
  <c r="AI355" i="14"/>
  <c r="AH355" i="14"/>
  <c r="AG355" i="14"/>
  <c r="AF355" i="14"/>
  <c r="AE355" i="14"/>
  <c r="AD355" i="14"/>
  <c r="AC355" i="14"/>
  <c r="AR355" i="14" s="1"/>
  <c r="AB355" i="14"/>
  <c r="AA355" i="14"/>
  <c r="Z355" i="14"/>
  <c r="Y355" i="14"/>
  <c r="AJ354" i="14"/>
  <c r="AI354" i="14"/>
  <c r="AH354" i="14"/>
  <c r="AG354" i="14"/>
  <c r="AF354" i="14"/>
  <c r="AE354" i="14"/>
  <c r="AD354" i="14"/>
  <c r="AC354" i="14"/>
  <c r="AR354" i="14" s="1"/>
  <c r="AB354" i="14"/>
  <c r="AA354" i="14"/>
  <c r="Z354" i="14"/>
  <c r="Y354" i="14"/>
  <c r="AJ353" i="14"/>
  <c r="AI353" i="14"/>
  <c r="AH353" i="14"/>
  <c r="AG353" i="14"/>
  <c r="AF353" i="14"/>
  <c r="AE353" i="14"/>
  <c r="AD353" i="14"/>
  <c r="AC353" i="14"/>
  <c r="AR353" i="14" s="1"/>
  <c r="AB353" i="14"/>
  <c r="AA353" i="14"/>
  <c r="Z353" i="14"/>
  <c r="Y353" i="14"/>
  <c r="AJ352" i="14"/>
  <c r="AI352" i="14"/>
  <c r="AH352" i="14"/>
  <c r="AG352" i="14"/>
  <c r="AF352" i="14"/>
  <c r="AE352" i="14"/>
  <c r="AD352" i="14"/>
  <c r="AC352" i="14"/>
  <c r="AR352" i="14" s="1"/>
  <c r="AB352" i="14"/>
  <c r="AA352" i="14"/>
  <c r="Z352" i="14"/>
  <c r="Y352" i="14"/>
  <c r="AJ351" i="14"/>
  <c r="AI351" i="14"/>
  <c r="AH351" i="14"/>
  <c r="AG351" i="14"/>
  <c r="AF351" i="14"/>
  <c r="AE351" i="14"/>
  <c r="AD351" i="14"/>
  <c r="AC351" i="14"/>
  <c r="AR351" i="14" s="1"/>
  <c r="AB351" i="14"/>
  <c r="AA351" i="14"/>
  <c r="Z351" i="14"/>
  <c r="Y351" i="14"/>
  <c r="AR350" i="14"/>
  <c r="AJ350" i="14"/>
  <c r="AI350" i="14"/>
  <c r="AH350" i="14"/>
  <c r="AG350" i="14"/>
  <c r="AF350" i="14"/>
  <c r="AE350" i="14"/>
  <c r="AD350" i="14"/>
  <c r="AC350" i="14"/>
  <c r="AB350" i="14"/>
  <c r="AA350" i="14"/>
  <c r="Z350" i="14"/>
  <c r="Y350" i="14"/>
  <c r="AJ349" i="14"/>
  <c r="AI349" i="14"/>
  <c r="AH349" i="14"/>
  <c r="AG349" i="14"/>
  <c r="AF349" i="14"/>
  <c r="AE349" i="14"/>
  <c r="AD349" i="14"/>
  <c r="AC349" i="14"/>
  <c r="AR349" i="14" s="1"/>
  <c r="AB349" i="14"/>
  <c r="AA349" i="14"/>
  <c r="Z349" i="14"/>
  <c r="Y349" i="14"/>
  <c r="AJ348" i="14"/>
  <c r="AI348" i="14"/>
  <c r="AH348" i="14"/>
  <c r="AG348" i="14"/>
  <c r="AF348" i="14"/>
  <c r="AE348" i="14"/>
  <c r="AD348" i="14"/>
  <c r="AC348" i="14"/>
  <c r="AR348" i="14" s="1"/>
  <c r="AB348" i="14"/>
  <c r="AA348" i="14"/>
  <c r="Z348" i="14"/>
  <c r="Y348" i="14"/>
  <c r="AJ347" i="14"/>
  <c r="AI347" i="14"/>
  <c r="AH347" i="14"/>
  <c r="AG347" i="14"/>
  <c r="AF347" i="14"/>
  <c r="AE347" i="14"/>
  <c r="AD347" i="14"/>
  <c r="AC347" i="14"/>
  <c r="AR347" i="14" s="1"/>
  <c r="AB347" i="14"/>
  <c r="AA347" i="14"/>
  <c r="Z347" i="14"/>
  <c r="Y347" i="14"/>
  <c r="AJ346" i="14"/>
  <c r="AI346" i="14"/>
  <c r="AH346" i="14"/>
  <c r="AG346" i="14"/>
  <c r="AF346" i="14"/>
  <c r="AE346" i="14"/>
  <c r="AD346" i="14"/>
  <c r="AC346" i="14"/>
  <c r="AR346" i="14" s="1"/>
  <c r="AB346" i="14"/>
  <c r="AA346" i="14"/>
  <c r="Z346" i="14"/>
  <c r="Y346" i="14"/>
  <c r="AJ345" i="14"/>
  <c r="AI345" i="14"/>
  <c r="AH345" i="14"/>
  <c r="AG345" i="14"/>
  <c r="AF345" i="14"/>
  <c r="AE345" i="14"/>
  <c r="AD345" i="14"/>
  <c r="AC345" i="14"/>
  <c r="AR345" i="14" s="1"/>
  <c r="AB345" i="14"/>
  <c r="AA345" i="14"/>
  <c r="Z345" i="14"/>
  <c r="Y345" i="14"/>
  <c r="AJ344" i="14"/>
  <c r="AI344" i="14"/>
  <c r="AH344" i="14"/>
  <c r="AG344" i="14"/>
  <c r="AF344" i="14"/>
  <c r="AE344" i="14"/>
  <c r="AD344" i="14"/>
  <c r="AC344" i="14"/>
  <c r="AR344" i="14" s="1"/>
  <c r="AB344" i="14"/>
  <c r="AA344" i="14"/>
  <c r="Z344" i="14"/>
  <c r="Y344" i="14"/>
  <c r="AJ343" i="14"/>
  <c r="AI343" i="14"/>
  <c r="AH343" i="14"/>
  <c r="AG343" i="14"/>
  <c r="AF343" i="14"/>
  <c r="AE343" i="14"/>
  <c r="AD343" i="14"/>
  <c r="AC343" i="14"/>
  <c r="AR343" i="14" s="1"/>
  <c r="AB343" i="14"/>
  <c r="AA343" i="14"/>
  <c r="Z343" i="14"/>
  <c r="Y343" i="14"/>
  <c r="AJ342" i="14"/>
  <c r="AI342" i="14"/>
  <c r="AH342" i="14"/>
  <c r="AG342" i="14"/>
  <c r="AF342" i="14"/>
  <c r="AE342" i="14"/>
  <c r="AD342" i="14"/>
  <c r="AC342" i="14"/>
  <c r="AR342" i="14" s="1"/>
  <c r="AB342" i="14"/>
  <c r="AA342" i="14"/>
  <c r="Z342" i="14"/>
  <c r="Y342" i="14"/>
  <c r="AJ341" i="14"/>
  <c r="AI341" i="14"/>
  <c r="AH341" i="14"/>
  <c r="AG341" i="14"/>
  <c r="AF341" i="14"/>
  <c r="AE341" i="14"/>
  <c r="AD341" i="14"/>
  <c r="AC341" i="14"/>
  <c r="AR341" i="14" s="1"/>
  <c r="AB341" i="14"/>
  <c r="AA341" i="14"/>
  <c r="Z341" i="14"/>
  <c r="Y341" i="14"/>
  <c r="AR340" i="14"/>
  <c r="AJ340" i="14"/>
  <c r="AI340" i="14"/>
  <c r="AH340" i="14"/>
  <c r="AG340" i="14"/>
  <c r="AF340" i="14"/>
  <c r="AE340" i="14"/>
  <c r="AD340" i="14"/>
  <c r="AC340" i="14"/>
  <c r="AB340" i="14"/>
  <c r="AA340" i="14"/>
  <c r="Z340" i="14"/>
  <c r="Y340" i="14"/>
  <c r="AJ339" i="14"/>
  <c r="AI339" i="14"/>
  <c r="AH339" i="14"/>
  <c r="AG339" i="14"/>
  <c r="AF339" i="14"/>
  <c r="AE339" i="14"/>
  <c r="AD339" i="14"/>
  <c r="AC339" i="14"/>
  <c r="AR339" i="14" s="1"/>
  <c r="AB339" i="14"/>
  <c r="AA339" i="14"/>
  <c r="Z339" i="14"/>
  <c r="Y339" i="14"/>
  <c r="AJ338" i="14"/>
  <c r="AI338" i="14"/>
  <c r="AH338" i="14"/>
  <c r="AG338" i="14"/>
  <c r="AF338" i="14"/>
  <c r="AE338" i="14"/>
  <c r="AD338" i="14"/>
  <c r="AC338" i="14"/>
  <c r="AR338" i="14" s="1"/>
  <c r="AB338" i="14"/>
  <c r="AA338" i="14"/>
  <c r="Z338" i="14"/>
  <c r="Y338" i="14"/>
  <c r="AJ337" i="14"/>
  <c r="AI337" i="14"/>
  <c r="AH337" i="14"/>
  <c r="AG337" i="14"/>
  <c r="AF337" i="14"/>
  <c r="AE337" i="14"/>
  <c r="AB337" i="14"/>
  <c r="AA337" i="14"/>
  <c r="Z337" i="14"/>
  <c r="AJ336" i="14"/>
  <c r="AI336" i="14"/>
  <c r="AH336" i="14"/>
  <c r="AG336" i="14"/>
  <c r="AF336" i="14"/>
  <c r="AE336" i="14"/>
  <c r="AD336" i="14"/>
  <c r="AC336" i="14"/>
  <c r="AR336" i="14" s="1"/>
  <c r="AB336" i="14"/>
  <c r="AA336" i="14"/>
  <c r="Z336" i="14"/>
  <c r="Y336" i="14"/>
  <c r="AJ335" i="14"/>
  <c r="AI335" i="14"/>
  <c r="AH335" i="14"/>
  <c r="AG335" i="14"/>
  <c r="AF335" i="14"/>
  <c r="AE335" i="14"/>
  <c r="AD335" i="14"/>
  <c r="AC335" i="14"/>
  <c r="AR335" i="14" s="1"/>
  <c r="AB335" i="14"/>
  <c r="AA335" i="14"/>
  <c r="Z335" i="14"/>
  <c r="Y335" i="14"/>
  <c r="AJ334" i="14"/>
  <c r="AI334" i="14"/>
  <c r="AH334" i="14"/>
  <c r="AG334" i="14"/>
  <c r="AF334" i="14"/>
  <c r="AE334" i="14"/>
  <c r="AD334" i="14"/>
  <c r="AC334" i="14"/>
  <c r="AR334" i="14" s="1"/>
  <c r="AB334" i="14"/>
  <c r="AA334" i="14"/>
  <c r="Z334" i="14"/>
  <c r="Y334" i="14"/>
  <c r="AJ333" i="14"/>
  <c r="AI333" i="14"/>
  <c r="AH333" i="14"/>
  <c r="AG333" i="14"/>
  <c r="AF333" i="14"/>
  <c r="AE333" i="14"/>
  <c r="AD333" i="14"/>
  <c r="AC333" i="14"/>
  <c r="AR333" i="14" s="1"/>
  <c r="AB333" i="14"/>
  <c r="AA333" i="14"/>
  <c r="Z333" i="14"/>
  <c r="Y333" i="14"/>
  <c r="AJ332" i="14"/>
  <c r="AI332" i="14"/>
  <c r="AH332" i="14"/>
  <c r="AG332" i="14"/>
  <c r="AF332" i="14"/>
  <c r="AE332" i="14"/>
  <c r="AD332" i="14"/>
  <c r="AC332" i="14"/>
  <c r="AR332" i="14" s="1"/>
  <c r="AB332" i="14"/>
  <c r="AA332" i="14"/>
  <c r="Z332" i="14"/>
  <c r="Y332" i="14"/>
  <c r="AJ331" i="14"/>
  <c r="AI331" i="14"/>
  <c r="AH331" i="14"/>
  <c r="AG331" i="14"/>
  <c r="AF331" i="14"/>
  <c r="AE331" i="14"/>
  <c r="AD331" i="14"/>
  <c r="AC331" i="14"/>
  <c r="AR331" i="14" s="1"/>
  <c r="AB331" i="14"/>
  <c r="AA331" i="14"/>
  <c r="Z331" i="14"/>
  <c r="Y331" i="14"/>
  <c r="AJ330" i="14"/>
  <c r="AI330" i="14"/>
  <c r="AH330" i="14"/>
  <c r="AG330" i="14"/>
  <c r="AF330" i="14"/>
  <c r="AE330" i="14"/>
  <c r="AD330" i="14"/>
  <c r="AC330" i="14"/>
  <c r="AR330" i="14" s="1"/>
  <c r="AB330" i="14"/>
  <c r="AA330" i="14"/>
  <c r="Z330" i="14"/>
  <c r="Y330" i="14"/>
  <c r="AJ329" i="14"/>
  <c r="AI329" i="14"/>
  <c r="AH329" i="14"/>
  <c r="AG329" i="14"/>
  <c r="AF329" i="14"/>
  <c r="AE329" i="14"/>
  <c r="AD329" i="14"/>
  <c r="AC329" i="14"/>
  <c r="AR329" i="14" s="1"/>
  <c r="AB329" i="14"/>
  <c r="AA329" i="14"/>
  <c r="Z329" i="14"/>
  <c r="Y329" i="14"/>
  <c r="AR328" i="14"/>
  <c r="AJ328" i="14"/>
  <c r="AI328" i="14"/>
  <c r="AH328" i="14"/>
  <c r="AG328" i="14"/>
  <c r="AF328" i="14"/>
  <c r="AE328" i="14"/>
  <c r="AD328" i="14"/>
  <c r="AC328" i="14"/>
  <c r="AB328" i="14"/>
  <c r="AA328" i="14"/>
  <c r="Z328" i="14"/>
  <c r="Y328" i="14"/>
  <c r="AJ327" i="14"/>
  <c r="AI327" i="14"/>
  <c r="AH327" i="14"/>
  <c r="AG327" i="14"/>
  <c r="AF327" i="14"/>
  <c r="AE327" i="14"/>
  <c r="AD327" i="14"/>
  <c r="AC327" i="14"/>
  <c r="AR327" i="14" s="1"/>
  <c r="AB327" i="14"/>
  <c r="AA327" i="14"/>
  <c r="Z327" i="14"/>
  <c r="Y327" i="14"/>
  <c r="AJ326" i="14"/>
  <c r="AI326" i="14"/>
  <c r="AH326" i="14"/>
  <c r="AG326" i="14"/>
  <c r="AF326" i="14"/>
  <c r="AE326" i="14"/>
  <c r="AD326" i="14"/>
  <c r="AC326" i="14"/>
  <c r="AR326" i="14" s="1"/>
  <c r="AB326" i="14"/>
  <c r="AA326" i="14"/>
  <c r="Z326" i="14"/>
  <c r="Y326" i="14"/>
  <c r="AJ325" i="14"/>
  <c r="AI325" i="14"/>
  <c r="AH325" i="14"/>
  <c r="AG325" i="14"/>
  <c r="AF325" i="14"/>
  <c r="AE325" i="14"/>
  <c r="AD325" i="14"/>
  <c r="AC325" i="14"/>
  <c r="AR325" i="14" s="1"/>
  <c r="AB325" i="14"/>
  <c r="AA325" i="14"/>
  <c r="Z325" i="14"/>
  <c r="Y325" i="14"/>
  <c r="AJ324" i="14"/>
  <c r="AI324" i="14"/>
  <c r="AH324" i="14"/>
  <c r="AG324" i="14"/>
  <c r="AF324" i="14"/>
  <c r="AE324" i="14"/>
  <c r="AD324" i="14"/>
  <c r="AC324" i="14"/>
  <c r="AR324" i="14" s="1"/>
  <c r="AB324" i="14"/>
  <c r="AA324" i="14"/>
  <c r="Z324" i="14"/>
  <c r="Y324" i="14"/>
  <c r="AJ323" i="14"/>
  <c r="AI323" i="14"/>
  <c r="AH323" i="14"/>
  <c r="AG323" i="14"/>
  <c r="AF323" i="14"/>
  <c r="AE323" i="14"/>
  <c r="AD323" i="14"/>
  <c r="AC323" i="14"/>
  <c r="AR323" i="14" s="1"/>
  <c r="AB323" i="14"/>
  <c r="AA323" i="14"/>
  <c r="Z323" i="14"/>
  <c r="Y323" i="14"/>
  <c r="AJ322" i="14"/>
  <c r="AI322" i="14"/>
  <c r="AH322" i="14"/>
  <c r="AG322" i="14"/>
  <c r="AF322" i="14"/>
  <c r="AE322" i="14"/>
  <c r="AD322" i="14"/>
  <c r="AC322" i="14"/>
  <c r="AR322" i="14" s="1"/>
  <c r="AB322" i="14"/>
  <c r="AA322" i="14"/>
  <c r="Z322" i="14"/>
  <c r="Y322" i="14"/>
  <c r="AJ321" i="14"/>
  <c r="AI321" i="14"/>
  <c r="AH321" i="14"/>
  <c r="AG321" i="14"/>
  <c r="AF321" i="14"/>
  <c r="AE321" i="14"/>
  <c r="AD321" i="14"/>
  <c r="AC321" i="14"/>
  <c r="AR321" i="14" s="1"/>
  <c r="AB321" i="14"/>
  <c r="AA321" i="14"/>
  <c r="Z321" i="14"/>
  <c r="Y321" i="14"/>
  <c r="AJ320" i="14"/>
  <c r="AI320" i="14"/>
  <c r="AH320" i="14"/>
  <c r="AG320" i="14"/>
  <c r="AF320" i="14"/>
  <c r="AE320" i="14"/>
  <c r="AD320" i="14"/>
  <c r="AC320" i="14"/>
  <c r="AR320" i="14" s="1"/>
  <c r="AB320" i="14"/>
  <c r="AA320" i="14"/>
  <c r="Z320" i="14"/>
  <c r="Y320" i="14"/>
  <c r="AJ319" i="14"/>
  <c r="AI319" i="14"/>
  <c r="AH319" i="14"/>
  <c r="AG319" i="14"/>
  <c r="AF319" i="14"/>
  <c r="AE319" i="14"/>
  <c r="AD319" i="14"/>
  <c r="AC319" i="14"/>
  <c r="AR319" i="14" s="1"/>
  <c r="AB319" i="14"/>
  <c r="AA319" i="14"/>
  <c r="Z319" i="14"/>
  <c r="Y319" i="14"/>
  <c r="AJ318" i="14"/>
  <c r="AI318" i="14"/>
  <c r="AH318" i="14"/>
  <c r="AG318" i="14"/>
  <c r="AF318" i="14"/>
  <c r="AE318" i="14"/>
  <c r="AD318" i="14"/>
  <c r="AC318" i="14"/>
  <c r="AR318" i="14" s="1"/>
  <c r="AB318" i="14"/>
  <c r="AA318" i="14"/>
  <c r="Z318" i="14"/>
  <c r="Y318" i="14"/>
  <c r="AJ317" i="14"/>
  <c r="AI317" i="14"/>
  <c r="AH317" i="14"/>
  <c r="AG317" i="14"/>
  <c r="AF317" i="14"/>
  <c r="AE317" i="14"/>
  <c r="AD317" i="14"/>
  <c r="AC317" i="14"/>
  <c r="AR317" i="14" s="1"/>
  <c r="AB317" i="14"/>
  <c r="AA317" i="14"/>
  <c r="Z317" i="14"/>
  <c r="Y317" i="14"/>
  <c r="AJ316" i="14"/>
  <c r="AI316" i="14"/>
  <c r="AH316" i="14"/>
  <c r="AG316" i="14"/>
  <c r="AF316" i="14"/>
  <c r="AE316" i="14"/>
  <c r="AD316" i="14"/>
  <c r="AC316" i="14"/>
  <c r="AR316" i="14" s="1"/>
  <c r="AB316" i="14"/>
  <c r="AA316" i="14"/>
  <c r="Z316" i="14"/>
  <c r="Y316" i="14"/>
  <c r="AJ315" i="14"/>
  <c r="AI315" i="14"/>
  <c r="AH315" i="14"/>
  <c r="AG315" i="14"/>
  <c r="AF315" i="14"/>
  <c r="AE315" i="14"/>
  <c r="AD315" i="14"/>
  <c r="AC315" i="14"/>
  <c r="AR315" i="14" s="1"/>
  <c r="AB315" i="14"/>
  <c r="AA315" i="14"/>
  <c r="Z315" i="14"/>
  <c r="Y315" i="14"/>
  <c r="AJ314" i="14"/>
  <c r="AI314" i="14"/>
  <c r="AH314" i="14"/>
  <c r="AG314" i="14"/>
  <c r="AF314" i="14"/>
  <c r="AE314" i="14"/>
  <c r="AD314" i="14"/>
  <c r="AC314" i="14"/>
  <c r="AR314" i="14" s="1"/>
  <c r="AB314" i="14"/>
  <c r="AA314" i="14"/>
  <c r="Z314" i="14"/>
  <c r="Y314" i="14"/>
  <c r="AJ313" i="14"/>
  <c r="AI313" i="14"/>
  <c r="AH313" i="14"/>
  <c r="AG313" i="14"/>
  <c r="AF313" i="14"/>
  <c r="AE313" i="14"/>
  <c r="AD313" i="14"/>
  <c r="AC313" i="14"/>
  <c r="AR313" i="14" s="1"/>
  <c r="AB313" i="14"/>
  <c r="AA313" i="14"/>
  <c r="Z313" i="14"/>
  <c r="Y313" i="14"/>
  <c r="AJ312" i="14"/>
  <c r="AI312" i="14"/>
  <c r="AH312" i="14"/>
  <c r="AG312" i="14"/>
  <c r="AF312" i="14"/>
  <c r="AE312" i="14"/>
  <c r="AD312" i="14"/>
  <c r="AC312" i="14"/>
  <c r="AR312" i="14" s="1"/>
  <c r="AB312" i="14"/>
  <c r="AA312" i="14"/>
  <c r="Z312" i="14"/>
  <c r="Y312" i="14"/>
  <c r="AJ311" i="14"/>
  <c r="AI311" i="14"/>
  <c r="AH311" i="14"/>
  <c r="AG311" i="14"/>
  <c r="AF311" i="14"/>
  <c r="AE311" i="14"/>
  <c r="AD311" i="14"/>
  <c r="AC311" i="14"/>
  <c r="AR311" i="14" s="1"/>
  <c r="AB311" i="14"/>
  <c r="AA311" i="14"/>
  <c r="Z311" i="14"/>
  <c r="Y311" i="14"/>
  <c r="AJ310" i="14"/>
  <c r="AI310" i="14"/>
  <c r="AH310" i="14"/>
  <c r="AG310" i="14"/>
  <c r="AF310" i="14"/>
  <c r="AE310" i="14"/>
  <c r="AD310" i="14"/>
  <c r="AC310" i="14"/>
  <c r="AR310" i="14" s="1"/>
  <c r="AB310" i="14"/>
  <c r="AA310" i="14"/>
  <c r="Z310" i="14"/>
  <c r="Y310" i="14"/>
  <c r="AJ309" i="14"/>
  <c r="AI309" i="14"/>
  <c r="AH309" i="14"/>
  <c r="AG309" i="14"/>
  <c r="AF309" i="14"/>
  <c r="AE309" i="14"/>
  <c r="AD309" i="14"/>
  <c r="AC309" i="14"/>
  <c r="AR309" i="14" s="1"/>
  <c r="AB309" i="14"/>
  <c r="AA309" i="14"/>
  <c r="Z309" i="14"/>
  <c r="Y309" i="14"/>
  <c r="AJ308" i="14"/>
  <c r="AI308" i="14"/>
  <c r="AH308" i="14"/>
  <c r="AG308" i="14"/>
  <c r="AF308" i="14"/>
  <c r="AE308" i="14"/>
  <c r="AD308" i="14"/>
  <c r="AC308" i="14"/>
  <c r="AR308" i="14" s="1"/>
  <c r="AB308" i="14"/>
  <c r="AA308" i="14"/>
  <c r="Z308" i="14"/>
  <c r="Y308" i="14"/>
  <c r="AJ307" i="14"/>
  <c r="AI307" i="14"/>
  <c r="AH307" i="14"/>
  <c r="AG307" i="14"/>
  <c r="AF307" i="14"/>
  <c r="AE307" i="14"/>
  <c r="AD307" i="14"/>
  <c r="AC307" i="14"/>
  <c r="AR307" i="14" s="1"/>
  <c r="AB307" i="14"/>
  <c r="AA307" i="14"/>
  <c r="Z307" i="14"/>
  <c r="Y307" i="14"/>
  <c r="AJ306" i="14"/>
  <c r="AI306" i="14"/>
  <c r="AH306" i="14"/>
  <c r="AG306" i="14"/>
  <c r="AF306" i="14"/>
  <c r="AE306" i="14"/>
  <c r="AD306" i="14"/>
  <c r="AC306" i="14"/>
  <c r="AR306" i="14" s="1"/>
  <c r="AB306" i="14"/>
  <c r="AA306" i="14"/>
  <c r="Z306" i="14"/>
  <c r="Y306" i="14"/>
  <c r="AJ305" i="14"/>
  <c r="AI305" i="14"/>
  <c r="AH305" i="14"/>
  <c r="AG305" i="14"/>
  <c r="AF305" i="14"/>
  <c r="AE305" i="14"/>
  <c r="AD305" i="14"/>
  <c r="AC305" i="14"/>
  <c r="AR305" i="14" s="1"/>
  <c r="AB305" i="14"/>
  <c r="AA305" i="14"/>
  <c r="Z305" i="14"/>
  <c r="Y305" i="14"/>
  <c r="AJ304" i="14"/>
  <c r="AI304" i="14"/>
  <c r="AH304" i="14"/>
  <c r="AG304" i="14"/>
  <c r="AF304" i="14"/>
  <c r="AE304" i="14"/>
  <c r="AD304" i="14"/>
  <c r="AC304" i="14"/>
  <c r="AR304" i="14" s="1"/>
  <c r="AB304" i="14"/>
  <c r="AA304" i="14"/>
  <c r="Z304" i="14"/>
  <c r="Y304" i="14"/>
  <c r="AJ303" i="14"/>
  <c r="AI303" i="14"/>
  <c r="AH303" i="14"/>
  <c r="AG303" i="14"/>
  <c r="AF303" i="14"/>
  <c r="AE303" i="14"/>
  <c r="AD303" i="14"/>
  <c r="AC303" i="14"/>
  <c r="AR303" i="14" s="1"/>
  <c r="AB303" i="14"/>
  <c r="AA303" i="14"/>
  <c r="Z303" i="14"/>
  <c r="Y303" i="14"/>
  <c r="AJ302" i="14"/>
  <c r="AI302" i="14"/>
  <c r="AH302" i="14"/>
  <c r="AG302" i="14"/>
  <c r="AF302" i="14"/>
  <c r="AE302" i="14"/>
  <c r="AD302" i="14"/>
  <c r="AC302" i="14"/>
  <c r="AR302" i="14" s="1"/>
  <c r="AB302" i="14"/>
  <c r="AA302" i="14"/>
  <c r="Z302" i="14"/>
  <c r="Y302" i="14"/>
  <c r="AJ301" i="14"/>
  <c r="AI301" i="14"/>
  <c r="AH301" i="14"/>
  <c r="AG301" i="14"/>
  <c r="AF301" i="14"/>
  <c r="AE301" i="14"/>
  <c r="AD301" i="14"/>
  <c r="AC301" i="14"/>
  <c r="AR301" i="14" s="1"/>
  <c r="AB301" i="14"/>
  <c r="AA301" i="14"/>
  <c r="Z301" i="14"/>
  <c r="Y301" i="14"/>
  <c r="AJ300" i="14"/>
  <c r="AI300" i="14"/>
  <c r="AH300" i="14"/>
  <c r="AG300" i="14"/>
  <c r="AF300" i="14"/>
  <c r="AE300" i="14"/>
  <c r="AD300" i="14"/>
  <c r="AC300" i="14"/>
  <c r="AR300" i="14" s="1"/>
  <c r="AB300" i="14"/>
  <c r="AA300" i="14"/>
  <c r="Z300" i="14"/>
  <c r="Y300" i="14"/>
  <c r="AJ299" i="14"/>
  <c r="AI299" i="14"/>
  <c r="AH299" i="14"/>
  <c r="AG299" i="14"/>
  <c r="AF299" i="14"/>
  <c r="AE299" i="14"/>
  <c r="AD299" i="14"/>
  <c r="AC299" i="14"/>
  <c r="AR299" i="14" s="1"/>
  <c r="AB299" i="14"/>
  <c r="AA299" i="14"/>
  <c r="Z299" i="14"/>
  <c r="Y299" i="14"/>
  <c r="AJ298" i="14"/>
  <c r="AI298" i="14"/>
  <c r="AH298" i="14"/>
  <c r="AG298" i="14"/>
  <c r="AF298" i="14"/>
  <c r="AE298" i="14"/>
  <c r="AD298" i="14"/>
  <c r="AC298" i="14"/>
  <c r="AR298" i="14" s="1"/>
  <c r="AB298" i="14"/>
  <c r="AA298" i="14"/>
  <c r="Z298" i="14"/>
  <c r="Y298" i="14"/>
  <c r="AJ297" i="14"/>
  <c r="AI297" i="14"/>
  <c r="AH297" i="14"/>
  <c r="AG297" i="14"/>
  <c r="AF297" i="14"/>
  <c r="AE297" i="14"/>
  <c r="AD297" i="14"/>
  <c r="AC297" i="14"/>
  <c r="AR297" i="14" s="1"/>
  <c r="AB297" i="14"/>
  <c r="AA297" i="14"/>
  <c r="Z297" i="14"/>
  <c r="Y297" i="14"/>
  <c r="AJ296" i="14"/>
  <c r="AI296" i="14"/>
  <c r="AH296" i="14"/>
  <c r="AG296" i="14"/>
  <c r="AF296" i="14"/>
  <c r="AE296" i="14"/>
  <c r="AD296" i="14"/>
  <c r="AC296" i="14"/>
  <c r="AR296" i="14" s="1"/>
  <c r="AB296" i="14"/>
  <c r="AA296" i="14"/>
  <c r="Z296" i="14"/>
  <c r="Y296" i="14"/>
  <c r="AJ295" i="14"/>
  <c r="AI295" i="14"/>
  <c r="AH295" i="14"/>
  <c r="AG295" i="14"/>
  <c r="AF295" i="14"/>
  <c r="AE295" i="14"/>
  <c r="AD295" i="14"/>
  <c r="AC295" i="14"/>
  <c r="AR295" i="14" s="1"/>
  <c r="AB295" i="14"/>
  <c r="AA295" i="14"/>
  <c r="Z295" i="14"/>
  <c r="Y295" i="14"/>
  <c r="AJ294" i="14"/>
  <c r="AI294" i="14"/>
  <c r="AH294" i="14"/>
  <c r="AG294" i="14"/>
  <c r="AF294" i="14"/>
  <c r="AE294" i="14"/>
  <c r="AD294" i="14"/>
  <c r="AC294" i="14"/>
  <c r="AR294" i="14" s="1"/>
  <c r="AB294" i="14"/>
  <c r="AA294" i="14"/>
  <c r="Z294" i="14"/>
  <c r="Y294" i="14"/>
  <c r="AJ293" i="14"/>
  <c r="AI293" i="14"/>
  <c r="AH293" i="14"/>
  <c r="AG293" i="14"/>
  <c r="AF293" i="14"/>
  <c r="AE293" i="14"/>
  <c r="AD293" i="14"/>
  <c r="AC293" i="14"/>
  <c r="AR293" i="14" s="1"/>
  <c r="AB293" i="14"/>
  <c r="AA293" i="14"/>
  <c r="Z293" i="14"/>
  <c r="Y293" i="14"/>
  <c r="AJ292" i="14"/>
  <c r="AI292" i="14"/>
  <c r="AH292" i="14"/>
  <c r="AG292" i="14"/>
  <c r="AF292" i="14"/>
  <c r="AE292" i="14"/>
  <c r="AD292" i="14"/>
  <c r="AC292" i="14"/>
  <c r="AR292" i="14" s="1"/>
  <c r="AB292" i="14"/>
  <c r="AA292" i="14"/>
  <c r="Z292" i="14"/>
  <c r="Y292" i="14"/>
  <c r="AJ291" i="14"/>
  <c r="AI291" i="14"/>
  <c r="AH291" i="14"/>
  <c r="AG291" i="14"/>
  <c r="AF291" i="14"/>
  <c r="AE291" i="14"/>
  <c r="AD291" i="14"/>
  <c r="AC291" i="14"/>
  <c r="AR291" i="14" s="1"/>
  <c r="AB291" i="14"/>
  <c r="AA291" i="14"/>
  <c r="Z291" i="14"/>
  <c r="Y291" i="14"/>
  <c r="AJ290" i="14"/>
  <c r="AI290" i="14"/>
  <c r="AH290" i="14"/>
  <c r="AG290" i="14"/>
  <c r="AF290" i="14"/>
  <c r="AE290" i="14"/>
  <c r="AD290" i="14"/>
  <c r="AC290" i="14"/>
  <c r="AR290" i="14" s="1"/>
  <c r="AB290" i="14"/>
  <c r="AA290" i="14"/>
  <c r="Z290" i="14"/>
  <c r="Y290" i="14"/>
  <c r="AJ289" i="14"/>
  <c r="AI289" i="14"/>
  <c r="AH289" i="14"/>
  <c r="AG289" i="14"/>
  <c r="AF289" i="14"/>
  <c r="AE289" i="14"/>
  <c r="AD289" i="14"/>
  <c r="AC289" i="14"/>
  <c r="AR289" i="14" s="1"/>
  <c r="AB289" i="14"/>
  <c r="AA289" i="14"/>
  <c r="Z289" i="14"/>
  <c r="Y289" i="14"/>
  <c r="AJ288" i="14"/>
  <c r="AI288" i="14"/>
  <c r="AH288" i="14"/>
  <c r="AG288" i="14"/>
  <c r="AF288" i="14"/>
  <c r="AE288" i="14"/>
  <c r="AD288" i="14"/>
  <c r="AC288" i="14"/>
  <c r="AR288" i="14" s="1"/>
  <c r="AB288" i="14"/>
  <c r="AA288" i="14"/>
  <c r="Z288" i="14"/>
  <c r="Y288" i="14"/>
  <c r="AJ287" i="14"/>
  <c r="AI287" i="14"/>
  <c r="AH287" i="14"/>
  <c r="AG287" i="14"/>
  <c r="AF287" i="14"/>
  <c r="AE287" i="14"/>
  <c r="AB287" i="14"/>
  <c r="AA287" i="14"/>
  <c r="Z287" i="14"/>
  <c r="AJ286" i="14"/>
  <c r="AI286" i="14"/>
  <c r="AH286" i="14"/>
  <c r="AG286" i="14"/>
  <c r="AF286" i="14"/>
  <c r="AE286" i="14"/>
  <c r="AD286" i="14"/>
  <c r="AC286" i="14"/>
  <c r="AR286" i="14" s="1"/>
  <c r="AB286" i="14"/>
  <c r="AA286" i="14"/>
  <c r="Z286" i="14"/>
  <c r="Y286" i="14"/>
  <c r="AR285" i="14"/>
  <c r="AJ285" i="14"/>
  <c r="AI285" i="14"/>
  <c r="AH285" i="14"/>
  <c r="AG285" i="14"/>
  <c r="AF285" i="14"/>
  <c r="AE285" i="14"/>
  <c r="AD285" i="14"/>
  <c r="AC285" i="14"/>
  <c r="AB285" i="14"/>
  <c r="AA285" i="14"/>
  <c r="Z285" i="14"/>
  <c r="Y285" i="14"/>
  <c r="AJ284" i="14"/>
  <c r="AI284" i="14"/>
  <c r="AH284" i="14"/>
  <c r="AG284" i="14"/>
  <c r="AF284" i="14"/>
  <c r="AE284" i="14"/>
  <c r="AD284" i="14"/>
  <c r="AC284" i="14"/>
  <c r="AR284" i="14" s="1"/>
  <c r="AB284" i="14"/>
  <c r="AA284" i="14"/>
  <c r="Z284" i="14"/>
  <c r="Y284" i="14"/>
  <c r="AJ283" i="14"/>
  <c r="AI283" i="14"/>
  <c r="AH283" i="14"/>
  <c r="AG283" i="14"/>
  <c r="AF283" i="14"/>
  <c r="AE283" i="14"/>
  <c r="AD283" i="14"/>
  <c r="AC283" i="14"/>
  <c r="AR283" i="14" s="1"/>
  <c r="AB283" i="14"/>
  <c r="AA283" i="14"/>
  <c r="Z283" i="14"/>
  <c r="Y283" i="14"/>
  <c r="AJ282" i="14"/>
  <c r="AI282" i="14"/>
  <c r="AH282" i="14"/>
  <c r="AG282" i="14"/>
  <c r="AF282" i="14"/>
  <c r="AE282" i="14"/>
  <c r="AD282" i="14"/>
  <c r="AC282" i="14"/>
  <c r="AR282" i="14" s="1"/>
  <c r="AB282" i="14"/>
  <c r="AA282" i="14"/>
  <c r="Z282" i="14"/>
  <c r="Y282" i="14"/>
  <c r="AJ281" i="14"/>
  <c r="AI281" i="14"/>
  <c r="AH281" i="14"/>
  <c r="AG281" i="14"/>
  <c r="AF281" i="14"/>
  <c r="AE281" i="14"/>
  <c r="AD281" i="14"/>
  <c r="AC281" i="14"/>
  <c r="AR281" i="14" s="1"/>
  <c r="AB281" i="14"/>
  <c r="AA281" i="14"/>
  <c r="Z281" i="14"/>
  <c r="Y281" i="14"/>
  <c r="AJ280" i="14"/>
  <c r="AI280" i="14"/>
  <c r="AH280" i="14"/>
  <c r="AG280" i="14"/>
  <c r="AF280" i="14"/>
  <c r="AE280" i="14"/>
  <c r="AD280" i="14"/>
  <c r="AC280" i="14"/>
  <c r="AR280" i="14" s="1"/>
  <c r="AB280" i="14"/>
  <c r="AA280" i="14"/>
  <c r="Z280" i="14"/>
  <c r="Y280" i="14"/>
  <c r="AJ279" i="14"/>
  <c r="AI279" i="14"/>
  <c r="AH279" i="14"/>
  <c r="AG279" i="14"/>
  <c r="AF279" i="14"/>
  <c r="AE279" i="14"/>
  <c r="AD279" i="14"/>
  <c r="AC279" i="14"/>
  <c r="AR279" i="14" s="1"/>
  <c r="AB279" i="14"/>
  <c r="AA279" i="14"/>
  <c r="Z279" i="14"/>
  <c r="Y279" i="14"/>
  <c r="AR278" i="14"/>
  <c r="AJ278" i="14"/>
  <c r="AI278" i="14"/>
  <c r="AH278" i="14"/>
  <c r="AG278" i="14"/>
  <c r="AF278" i="14"/>
  <c r="AE278" i="14"/>
  <c r="AD278" i="14"/>
  <c r="AC278" i="14"/>
  <c r="AB278" i="14"/>
  <c r="AA278" i="14"/>
  <c r="Z278" i="14"/>
  <c r="Y278" i="14"/>
  <c r="AJ277" i="14"/>
  <c r="AI277" i="14"/>
  <c r="AH277" i="14"/>
  <c r="AG277" i="14"/>
  <c r="AF277" i="14"/>
  <c r="AE277" i="14"/>
  <c r="AD277" i="14"/>
  <c r="AC277" i="14"/>
  <c r="AR277" i="14" s="1"/>
  <c r="AB277" i="14"/>
  <c r="AA277" i="14"/>
  <c r="Z277" i="14"/>
  <c r="Y277" i="14"/>
  <c r="AJ276" i="14"/>
  <c r="AI276" i="14"/>
  <c r="AH276" i="14"/>
  <c r="AG276" i="14"/>
  <c r="AF276" i="14"/>
  <c r="AE276" i="14"/>
  <c r="AD276" i="14"/>
  <c r="AC276" i="14"/>
  <c r="AR276" i="14" s="1"/>
  <c r="AB276" i="14"/>
  <c r="AA276" i="14"/>
  <c r="Z276" i="14"/>
  <c r="Y276" i="14"/>
  <c r="AJ275" i="14"/>
  <c r="AI275" i="14"/>
  <c r="AH275" i="14"/>
  <c r="AG275" i="14"/>
  <c r="AF275" i="14"/>
  <c r="AE275" i="14"/>
  <c r="AD275" i="14"/>
  <c r="AC275" i="14"/>
  <c r="AR275" i="14" s="1"/>
  <c r="AB275" i="14"/>
  <c r="AA275" i="14"/>
  <c r="Z275" i="14"/>
  <c r="Y275" i="14"/>
  <c r="AJ274" i="14"/>
  <c r="AI274" i="14"/>
  <c r="AH274" i="14"/>
  <c r="AG274" i="14"/>
  <c r="AF274" i="14"/>
  <c r="AE274" i="14"/>
  <c r="AD274" i="14"/>
  <c r="AC274" i="14"/>
  <c r="AR274" i="14" s="1"/>
  <c r="AB274" i="14"/>
  <c r="AA274" i="14"/>
  <c r="Z274" i="14"/>
  <c r="Y274" i="14"/>
  <c r="AJ273" i="14"/>
  <c r="AI273" i="14"/>
  <c r="AH273" i="14"/>
  <c r="AG273" i="14"/>
  <c r="AF273" i="14"/>
  <c r="AE273" i="14"/>
  <c r="AD273" i="14"/>
  <c r="AC273" i="14"/>
  <c r="AR273" i="14" s="1"/>
  <c r="AB273" i="14"/>
  <c r="AA273" i="14"/>
  <c r="Z273" i="14"/>
  <c r="Y273" i="14"/>
  <c r="AJ272" i="14"/>
  <c r="AI272" i="14"/>
  <c r="AH272" i="14"/>
  <c r="AG272" i="14"/>
  <c r="AF272" i="14"/>
  <c r="AE272" i="14"/>
  <c r="AD272" i="14"/>
  <c r="AC272" i="14"/>
  <c r="AR272" i="14" s="1"/>
  <c r="AB272" i="14"/>
  <c r="AA272" i="14"/>
  <c r="Z272" i="14"/>
  <c r="Y272" i="14"/>
  <c r="AJ271" i="14"/>
  <c r="AI271" i="14"/>
  <c r="AH271" i="14"/>
  <c r="AG271" i="14"/>
  <c r="AF271" i="14"/>
  <c r="AE271" i="14"/>
  <c r="AD271" i="14"/>
  <c r="AC271" i="14"/>
  <c r="AR271" i="14" s="1"/>
  <c r="AB271" i="14"/>
  <c r="AA271" i="14"/>
  <c r="Z271" i="14"/>
  <c r="Y271" i="14"/>
  <c r="AJ270" i="14"/>
  <c r="AI270" i="14"/>
  <c r="AH270" i="14"/>
  <c r="AG270" i="14"/>
  <c r="AF270" i="14"/>
  <c r="AE270" i="14"/>
  <c r="AD270" i="14"/>
  <c r="AC270" i="14"/>
  <c r="AR270" i="14" s="1"/>
  <c r="AB270" i="14"/>
  <c r="AA270" i="14"/>
  <c r="Z270" i="14"/>
  <c r="Y270" i="14"/>
  <c r="AJ269" i="14"/>
  <c r="AI269" i="14"/>
  <c r="AH269" i="14"/>
  <c r="AG269" i="14"/>
  <c r="AF269" i="14"/>
  <c r="AE269" i="14"/>
  <c r="AD269" i="14"/>
  <c r="AC269" i="14"/>
  <c r="AR269" i="14" s="1"/>
  <c r="AB269" i="14"/>
  <c r="AA269" i="14"/>
  <c r="Z269" i="14"/>
  <c r="Y269" i="14"/>
  <c r="AJ268" i="14"/>
  <c r="AI268" i="14"/>
  <c r="AH268" i="14"/>
  <c r="AG268" i="14"/>
  <c r="AF268" i="14"/>
  <c r="AE268" i="14"/>
  <c r="AD268" i="14"/>
  <c r="AC268" i="14"/>
  <c r="AR268" i="14" s="1"/>
  <c r="AB268" i="14"/>
  <c r="AA268" i="14"/>
  <c r="Z268" i="14"/>
  <c r="Y268" i="14"/>
  <c r="AJ267" i="14"/>
  <c r="AI267" i="14"/>
  <c r="AH267" i="14"/>
  <c r="AG267" i="14"/>
  <c r="AF267" i="14"/>
  <c r="AE267" i="14"/>
  <c r="AD267" i="14"/>
  <c r="AC267" i="14"/>
  <c r="AR267" i="14" s="1"/>
  <c r="AB267" i="14"/>
  <c r="AA267" i="14"/>
  <c r="Z267" i="14"/>
  <c r="Y267" i="14"/>
  <c r="AJ266" i="14"/>
  <c r="AI266" i="14"/>
  <c r="AH266" i="14"/>
  <c r="AG266" i="14"/>
  <c r="AF266" i="14"/>
  <c r="AE266" i="14"/>
  <c r="AD266" i="14"/>
  <c r="AC266" i="14"/>
  <c r="AR266" i="14" s="1"/>
  <c r="AB266" i="14"/>
  <c r="AA266" i="14"/>
  <c r="Z266" i="14"/>
  <c r="Y266" i="14"/>
  <c r="AJ265" i="14"/>
  <c r="AI265" i="14"/>
  <c r="AH265" i="14"/>
  <c r="AG265" i="14"/>
  <c r="AF265" i="14"/>
  <c r="AE265" i="14"/>
  <c r="AD265" i="14"/>
  <c r="AC265" i="14"/>
  <c r="AR265" i="14" s="1"/>
  <c r="AB265" i="14"/>
  <c r="AA265" i="14"/>
  <c r="Z265" i="14"/>
  <c r="Y265" i="14"/>
  <c r="AJ264" i="14"/>
  <c r="AI264" i="14"/>
  <c r="AH264" i="14"/>
  <c r="AG264" i="14"/>
  <c r="AF264" i="14"/>
  <c r="AE264" i="14"/>
  <c r="AD264" i="14"/>
  <c r="AC264" i="14"/>
  <c r="AR264" i="14" s="1"/>
  <c r="AB264" i="14"/>
  <c r="AA264" i="14"/>
  <c r="Z264" i="14"/>
  <c r="Y264" i="14"/>
  <c r="AJ263" i="14"/>
  <c r="AI263" i="14"/>
  <c r="AH263" i="14"/>
  <c r="AG263" i="14"/>
  <c r="AF263" i="14"/>
  <c r="AE263" i="14"/>
  <c r="AD263" i="14"/>
  <c r="AC263" i="14"/>
  <c r="AR263" i="14" s="1"/>
  <c r="AB263" i="14"/>
  <c r="AA263" i="14"/>
  <c r="Z263" i="14"/>
  <c r="Y263" i="14"/>
  <c r="AJ262" i="14"/>
  <c r="AI262" i="14"/>
  <c r="AH262" i="14"/>
  <c r="AG262" i="14"/>
  <c r="AF262" i="14"/>
  <c r="AE262" i="14"/>
  <c r="AD262" i="14"/>
  <c r="AC262" i="14"/>
  <c r="AR262" i="14" s="1"/>
  <c r="AB262" i="14"/>
  <c r="AA262" i="14"/>
  <c r="Z262" i="14"/>
  <c r="Y262" i="14"/>
  <c r="AJ261" i="14"/>
  <c r="AI261" i="14"/>
  <c r="AH261" i="14"/>
  <c r="AG261" i="14"/>
  <c r="AF261" i="14"/>
  <c r="AE261" i="14"/>
  <c r="AD261" i="14"/>
  <c r="AC261" i="14"/>
  <c r="AR261" i="14" s="1"/>
  <c r="AB261" i="14"/>
  <c r="AA261" i="14"/>
  <c r="Z261" i="14"/>
  <c r="Y261" i="14"/>
  <c r="AJ260" i="14"/>
  <c r="AI260" i="14"/>
  <c r="AH260" i="14"/>
  <c r="AG260" i="14"/>
  <c r="AF260" i="14"/>
  <c r="AE260" i="14"/>
  <c r="AD260" i="14"/>
  <c r="AC260" i="14"/>
  <c r="AR260" i="14" s="1"/>
  <c r="AB260" i="14"/>
  <c r="AA260" i="14"/>
  <c r="Z260" i="14"/>
  <c r="Y260" i="14"/>
  <c r="AJ259" i="14"/>
  <c r="AI259" i="14"/>
  <c r="AH259" i="14"/>
  <c r="AG259" i="14"/>
  <c r="AF259" i="14"/>
  <c r="AE259" i="14"/>
  <c r="AD259" i="14"/>
  <c r="AC259" i="14"/>
  <c r="AR259" i="14" s="1"/>
  <c r="AB259" i="14"/>
  <c r="AA259" i="14"/>
  <c r="Z259" i="14"/>
  <c r="Y259" i="14"/>
  <c r="AJ258" i="14"/>
  <c r="AI258" i="14"/>
  <c r="AH258" i="14"/>
  <c r="AG258" i="14"/>
  <c r="AF258" i="14"/>
  <c r="AE258" i="14"/>
  <c r="AD258" i="14"/>
  <c r="AC258" i="14"/>
  <c r="AR258" i="14" s="1"/>
  <c r="AB258" i="14"/>
  <c r="AA258" i="14"/>
  <c r="Z258" i="14"/>
  <c r="Y258" i="14"/>
  <c r="AJ257" i="14"/>
  <c r="AI257" i="14"/>
  <c r="AH257" i="14"/>
  <c r="AG257" i="14"/>
  <c r="AF257" i="14"/>
  <c r="AE257" i="14"/>
  <c r="AD257" i="14"/>
  <c r="AC257" i="14"/>
  <c r="AR257" i="14" s="1"/>
  <c r="AB257" i="14"/>
  <c r="AA257" i="14"/>
  <c r="Z257" i="14"/>
  <c r="Y257" i="14"/>
  <c r="AJ256" i="14"/>
  <c r="AI256" i="14"/>
  <c r="AH256" i="14"/>
  <c r="AG256" i="14"/>
  <c r="AF256" i="14"/>
  <c r="AE256" i="14"/>
  <c r="AD256" i="14"/>
  <c r="AC256" i="14"/>
  <c r="AR256" i="14" s="1"/>
  <c r="AB256" i="14"/>
  <c r="AA256" i="14"/>
  <c r="Z256" i="14"/>
  <c r="Y256" i="14"/>
  <c r="AJ255" i="14"/>
  <c r="AI255" i="14"/>
  <c r="AH255" i="14"/>
  <c r="AG255" i="14"/>
  <c r="AF255" i="14"/>
  <c r="AE255" i="14"/>
  <c r="AD255" i="14"/>
  <c r="AC255" i="14"/>
  <c r="AR255" i="14" s="1"/>
  <c r="AB255" i="14"/>
  <c r="AA255" i="14"/>
  <c r="Z255" i="14"/>
  <c r="Y255" i="14"/>
  <c r="AR254" i="14"/>
  <c r="AJ254" i="14"/>
  <c r="AI254" i="14"/>
  <c r="AH254" i="14"/>
  <c r="AG254" i="14"/>
  <c r="AF254" i="14"/>
  <c r="AE254" i="14"/>
  <c r="AD254" i="14"/>
  <c r="AC254" i="14"/>
  <c r="AB254" i="14"/>
  <c r="AA254" i="14"/>
  <c r="Z254" i="14"/>
  <c r="Y254" i="14"/>
  <c r="AJ253" i="14"/>
  <c r="AI253" i="14"/>
  <c r="AH253" i="14"/>
  <c r="AG253" i="14"/>
  <c r="AF253" i="14"/>
  <c r="AE253" i="14"/>
  <c r="AD253" i="14"/>
  <c r="AC253" i="14"/>
  <c r="AR253" i="14" s="1"/>
  <c r="AB253" i="14"/>
  <c r="AA253" i="14"/>
  <c r="Z253" i="14"/>
  <c r="Y253" i="14"/>
  <c r="AJ252" i="14"/>
  <c r="AI252" i="14"/>
  <c r="AH252" i="14"/>
  <c r="AG252" i="14"/>
  <c r="AF252" i="14"/>
  <c r="AE252" i="14"/>
  <c r="AD252" i="14"/>
  <c r="AC252" i="14"/>
  <c r="AR252" i="14" s="1"/>
  <c r="AB252" i="14"/>
  <c r="AA252" i="14"/>
  <c r="Z252" i="14"/>
  <c r="Y252" i="14"/>
  <c r="AJ251" i="14"/>
  <c r="AI251" i="14"/>
  <c r="AH251" i="14"/>
  <c r="AG251" i="14"/>
  <c r="AF251" i="14"/>
  <c r="AE251" i="14"/>
  <c r="AD251" i="14"/>
  <c r="AC251" i="14"/>
  <c r="AR251" i="14" s="1"/>
  <c r="AB251" i="14"/>
  <c r="AA251" i="14"/>
  <c r="Z251" i="14"/>
  <c r="Y251" i="14"/>
  <c r="AJ250" i="14"/>
  <c r="AI250" i="14"/>
  <c r="AH250" i="14"/>
  <c r="AG250" i="14"/>
  <c r="AF250" i="14"/>
  <c r="AE250" i="14"/>
  <c r="AD250" i="14"/>
  <c r="AC250" i="14"/>
  <c r="AR250" i="14" s="1"/>
  <c r="AB250" i="14"/>
  <c r="AA250" i="14"/>
  <c r="Z250" i="14"/>
  <c r="Y250" i="14"/>
  <c r="AJ249" i="14"/>
  <c r="AI249" i="14"/>
  <c r="AH249" i="14"/>
  <c r="AG249" i="14"/>
  <c r="AF249" i="14"/>
  <c r="AE249" i="14"/>
  <c r="AD249" i="14"/>
  <c r="AC249" i="14"/>
  <c r="AR249" i="14" s="1"/>
  <c r="AB249" i="14"/>
  <c r="AA249" i="14"/>
  <c r="Z249" i="14"/>
  <c r="Y249" i="14"/>
  <c r="AJ248" i="14"/>
  <c r="AI248" i="14"/>
  <c r="AH248" i="14"/>
  <c r="AG248" i="14"/>
  <c r="AF248" i="14"/>
  <c r="AE248" i="14"/>
  <c r="AB248" i="14"/>
  <c r="AA248" i="14"/>
  <c r="Z248" i="14"/>
  <c r="AJ247" i="14"/>
  <c r="AI247" i="14"/>
  <c r="AH247" i="14"/>
  <c r="AG247" i="14"/>
  <c r="AF247" i="14"/>
  <c r="AE247" i="14"/>
  <c r="AB247" i="14"/>
  <c r="AA247" i="14"/>
  <c r="Z247" i="14"/>
  <c r="AJ246" i="14"/>
  <c r="AI246" i="14"/>
  <c r="AH246" i="14"/>
  <c r="AG246" i="14"/>
  <c r="AF246" i="14"/>
  <c r="AE246" i="14"/>
  <c r="AB246" i="14"/>
  <c r="AA246" i="14"/>
  <c r="Z246" i="14"/>
  <c r="AJ245" i="14"/>
  <c r="AI245" i="14"/>
  <c r="AH245" i="14"/>
  <c r="AG245" i="14"/>
  <c r="AF245" i="14"/>
  <c r="AE245" i="14"/>
  <c r="AB245" i="14"/>
  <c r="AA245" i="14"/>
  <c r="Z245" i="14"/>
  <c r="AJ244" i="14"/>
  <c r="AI244" i="14"/>
  <c r="AH244" i="14"/>
  <c r="AG244" i="14"/>
  <c r="AF244" i="14"/>
  <c r="AE244" i="14"/>
  <c r="AB244" i="14"/>
  <c r="AA244" i="14"/>
  <c r="Z244" i="14"/>
  <c r="AJ243" i="14"/>
  <c r="AI243" i="14"/>
  <c r="AH243" i="14"/>
  <c r="AG243" i="14"/>
  <c r="AF243" i="14"/>
  <c r="AE243" i="14"/>
  <c r="AB243" i="14"/>
  <c r="AA243" i="14"/>
  <c r="Z243" i="14"/>
  <c r="AJ242" i="14"/>
  <c r="AI242" i="14"/>
  <c r="AH242" i="14"/>
  <c r="AG242" i="14"/>
  <c r="AF242" i="14"/>
  <c r="AE242" i="14"/>
  <c r="AB242" i="14"/>
  <c r="AA242" i="14"/>
  <c r="Z242" i="14"/>
  <c r="AJ241" i="14"/>
  <c r="AI241" i="14"/>
  <c r="AH241" i="14"/>
  <c r="AG241" i="14"/>
  <c r="AF241" i="14"/>
  <c r="AE241" i="14"/>
  <c r="AB241" i="14"/>
  <c r="AA241" i="14"/>
  <c r="Z241" i="14"/>
  <c r="AJ240" i="14"/>
  <c r="AI240" i="14"/>
  <c r="AH240" i="14"/>
  <c r="AG240" i="14"/>
  <c r="AF240" i="14"/>
  <c r="AE240" i="14"/>
  <c r="AB240" i="14"/>
  <c r="AA240" i="14"/>
  <c r="Z240" i="14"/>
  <c r="AJ239" i="14"/>
  <c r="AI239" i="14"/>
  <c r="AH239" i="14"/>
  <c r="AG239" i="14"/>
  <c r="AF239" i="14"/>
  <c r="AE239" i="14"/>
  <c r="AB239" i="14"/>
  <c r="AA239" i="14"/>
  <c r="Z239" i="14"/>
  <c r="AJ238" i="14"/>
  <c r="AI238" i="14"/>
  <c r="AH238" i="14"/>
  <c r="AG238" i="14"/>
  <c r="AF238" i="14"/>
  <c r="AE238" i="14"/>
  <c r="AB238" i="14"/>
  <c r="AA238" i="14"/>
  <c r="Z238" i="14"/>
  <c r="AJ237" i="14"/>
  <c r="AI237" i="14"/>
  <c r="AH237" i="14"/>
  <c r="AG237" i="14"/>
  <c r="AF237" i="14"/>
  <c r="AE237" i="14"/>
  <c r="AB237" i="14"/>
  <c r="AA237" i="14"/>
  <c r="Z237" i="14"/>
  <c r="AJ236" i="14"/>
  <c r="AI236" i="14"/>
  <c r="AH236" i="14"/>
  <c r="AG236" i="14"/>
  <c r="AF236" i="14"/>
  <c r="AE236" i="14"/>
  <c r="AD236" i="14"/>
  <c r="AC236" i="14"/>
  <c r="AR236" i="14" s="1"/>
  <c r="AB236" i="14"/>
  <c r="AA236" i="14"/>
  <c r="Z236" i="14"/>
  <c r="Y236" i="14"/>
  <c r="AJ235" i="14"/>
  <c r="AI235" i="14"/>
  <c r="AH235" i="14"/>
  <c r="AG235" i="14"/>
  <c r="AF235" i="14"/>
  <c r="AE235" i="14"/>
  <c r="AD235" i="14"/>
  <c r="AC235" i="14"/>
  <c r="AR235" i="14" s="1"/>
  <c r="AB235" i="14"/>
  <c r="AA235" i="14"/>
  <c r="Z235" i="14"/>
  <c r="Y235" i="14"/>
  <c r="AJ234" i="14"/>
  <c r="AI234" i="14"/>
  <c r="AH234" i="14"/>
  <c r="AG234" i="14"/>
  <c r="AF234" i="14"/>
  <c r="AE234" i="14"/>
  <c r="AD234" i="14"/>
  <c r="AC234" i="14"/>
  <c r="AR234" i="14" s="1"/>
  <c r="AB234" i="14"/>
  <c r="AA234" i="14"/>
  <c r="Z234" i="14"/>
  <c r="Y234" i="14"/>
  <c r="AJ233" i="14"/>
  <c r="AI233" i="14"/>
  <c r="AH233" i="14"/>
  <c r="AG233" i="14"/>
  <c r="AF233" i="14"/>
  <c r="AE233" i="14"/>
  <c r="AD233" i="14"/>
  <c r="AC233" i="14"/>
  <c r="AR233" i="14" s="1"/>
  <c r="AB233" i="14"/>
  <c r="AA233" i="14"/>
  <c r="Z233" i="14"/>
  <c r="Y233" i="14"/>
  <c r="AJ232" i="14"/>
  <c r="AI232" i="14"/>
  <c r="AH232" i="14"/>
  <c r="AG232" i="14"/>
  <c r="AF232" i="14"/>
  <c r="AE232" i="14"/>
  <c r="AD232" i="14"/>
  <c r="AC232" i="14"/>
  <c r="AR232" i="14" s="1"/>
  <c r="AB232" i="14"/>
  <c r="AA232" i="14"/>
  <c r="Z232" i="14"/>
  <c r="Y232" i="14"/>
  <c r="AJ231" i="14"/>
  <c r="AI231" i="14"/>
  <c r="AH231" i="14"/>
  <c r="AG231" i="14"/>
  <c r="AF231" i="14"/>
  <c r="AE231" i="14"/>
  <c r="AD231" i="14"/>
  <c r="AC231" i="14"/>
  <c r="AR231" i="14" s="1"/>
  <c r="AB231" i="14"/>
  <c r="AA231" i="14"/>
  <c r="Z231" i="14"/>
  <c r="Y231" i="14"/>
  <c r="AJ230" i="14"/>
  <c r="AI230" i="14"/>
  <c r="AH230" i="14"/>
  <c r="AG230" i="14"/>
  <c r="AF230" i="14"/>
  <c r="AE230" i="14"/>
  <c r="AD230" i="14"/>
  <c r="AC230" i="14"/>
  <c r="AR230" i="14" s="1"/>
  <c r="AB230" i="14"/>
  <c r="AA230" i="14"/>
  <c r="Z230" i="14"/>
  <c r="Y230" i="14"/>
  <c r="AJ229" i="14"/>
  <c r="AI229" i="14"/>
  <c r="AH229" i="14"/>
  <c r="AG229" i="14"/>
  <c r="AF229" i="14"/>
  <c r="AE229" i="14"/>
  <c r="AD229" i="14"/>
  <c r="AC229" i="14"/>
  <c r="AR229" i="14" s="1"/>
  <c r="AB229" i="14"/>
  <c r="AA229" i="14"/>
  <c r="Z229" i="14"/>
  <c r="Y229" i="14"/>
  <c r="AJ228" i="14"/>
  <c r="AI228" i="14"/>
  <c r="AH228" i="14"/>
  <c r="AG228" i="14"/>
  <c r="AF228" i="14"/>
  <c r="AE228" i="14"/>
  <c r="AD228" i="14"/>
  <c r="AC228" i="14"/>
  <c r="AR228" i="14" s="1"/>
  <c r="AB228" i="14"/>
  <c r="AA228" i="14"/>
  <c r="Z228" i="14"/>
  <c r="Y228" i="14"/>
  <c r="AJ227" i="14"/>
  <c r="AI227" i="14"/>
  <c r="AH227" i="14"/>
  <c r="AG227" i="14"/>
  <c r="AF227" i="14"/>
  <c r="AE227" i="14"/>
  <c r="AD227" i="14"/>
  <c r="AC227" i="14"/>
  <c r="AR227" i="14" s="1"/>
  <c r="AB227" i="14"/>
  <c r="AA227" i="14"/>
  <c r="Z227" i="14"/>
  <c r="Y227" i="14"/>
  <c r="AJ226" i="14"/>
  <c r="AI226" i="14"/>
  <c r="AH226" i="14"/>
  <c r="AG226" i="14"/>
  <c r="AF226" i="14"/>
  <c r="AE226" i="14"/>
  <c r="AD226" i="14"/>
  <c r="AC226" i="14"/>
  <c r="AR226" i="14" s="1"/>
  <c r="AB226" i="14"/>
  <c r="AA226" i="14"/>
  <c r="Z226" i="14"/>
  <c r="Y226" i="14"/>
  <c r="AJ225" i="14"/>
  <c r="AI225" i="14"/>
  <c r="AH225" i="14"/>
  <c r="AG225" i="14"/>
  <c r="AF225" i="14"/>
  <c r="AE225" i="14"/>
  <c r="AD225" i="14"/>
  <c r="AC225" i="14"/>
  <c r="AR225" i="14" s="1"/>
  <c r="AB225" i="14"/>
  <c r="AA225" i="14"/>
  <c r="Z225" i="14"/>
  <c r="Y225" i="14"/>
  <c r="AJ224" i="14"/>
  <c r="AI224" i="14"/>
  <c r="AH224" i="14"/>
  <c r="AG224" i="14"/>
  <c r="AF224" i="14"/>
  <c r="AE224" i="14"/>
  <c r="AD224" i="14"/>
  <c r="AC224" i="14"/>
  <c r="AR224" i="14" s="1"/>
  <c r="AB224" i="14"/>
  <c r="AA224" i="14"/>
  <c r="Z224" i="14"/>
  <c r="Y224" i="14"/>
  <c r="AJ223" i="14"/>
  <c r="AI223" i="14"/>
  <c r="AH223" i="14"/>
  <c r="AG223" i="14"/>
  <c r="AF223" i="14"/>
  <c r="AE223" i="14"/>
  <c r="AD223" i="14"/>
  <c r="AC223" i="14"/>
  <c r="AR223" i="14" s="1"/>
  <c r="AB223" i="14"/>
  <c r="AA223" i="14"/>
  <c r="Z223" i="14"/>
  <c r="Y223" i="14"/>
  <c r="AJ222" i="14"/>
  <c r="AI222" i="14"/>
  <c r="AH222" i="14"/>
  <c r="AG222" i="14"/>
  <c r="AF222" i="14"/>
  <c r="AE222" i="14"/>
  <c r="AD222" i="14"/>
  <c r="AC222" i="14"/>
  <c r="AR222" i="14" s="1"/>
  <c r="AB222" i="14"/>
  <c r="AA222" i="14"/>
  <c r="Z222" i="14"/>
  <c r="Y222" i="14"/>
  <c r="AJ221" i="14"/>
  <c r="AI221" i="14"/>
  <c r="AH221" i="14"/>
  <c r="AG221" i="14"/>
  <c r="AF221" i="14"/>
  <c r="AE221" i="14"/>
  <c r="AD221" i="14"/>
  <c r="AC221" i="14"/>
  <c r="AR221" i="14" s="1"/>
  <c r="AB221" i="14"/>
  <c r="AA221" i="14"/>
  <c r="Z221" i="14"/>
  <c r="Y221" i="14"/>
  <c r="AJ220" i="14"/>
  <c r="AI220" i="14"/>
  <c r="AH220" i="14"/>
  <c r="AG220" i="14"/>
  <c r="AF220" i="14"/>
  <c r="AE220" i="14"/>
  <c r="AD220" i="14"/>
  <c r="AC220" i="14"/>
  <c r="AR220" i="14" s="1"/>
  <c r="AB220" i="14"/>
  <c r="AA220" i="14"/>
  <c r="Z220" i="14"/>
  <c r="Y220" i="14"/>
  <c r="AJ219" i="14"/>
  <c r="AI219" i="14"/>
  <c r="AH219" i="14"/>
  <c r="AG219" i="14"/>
  <c r="AF219" i="14"/>
  <c r="AE219" i="14"/>
  <c r="AD219" i="14"/>
  <c r="AC219" i="14"/>
  <c r="AR219" i="14" s="1"/>
  <c r="AB219" i="14"/>
  <c r="AA219" i="14"/>
  <c r="Z219" i="14"/>
  <c r="Y219" i="14"/>
  <c r="AJ218" i="14"/>
  <c r="AI218" i="14"/>
  <c r="AH218" i="14"/>
  <c r="AG218" i="14"/>
  <c r="AF218" i="14"/>
  <c r="AE218" i="14"/>
  <c r="AD218" i="14"/>
  <c r="AC218" i="14"/>
  <c r="AR218" i="14" s="1"/>
  <c r="AB218" i="14"/>
  <c r="AA218" i="14"/>
  <c r="Z218" i="14"/>
  <c r="Y218" i="14"/>
  <c r="AJ217" i="14"/>
  <c r="AI217" i="14"/>
  <c r="AH217" i="14"/>
  <c r="AG217" i="14"/>
  <c r="AF217" i="14"/>
  <c r="AE217" i="14"/>
  <c r="AD217" i="14"/>
  <c r="AC217" i="14"/>
  <c r="AR217" i="14" s="1"/>
  <c r="AB217" i="14"/>
  <c r="AA217" i="14"/>
  <c r="Z217" i="14"/>
  <c r="Y217" i="14"/>
  <c r="AJ216" i="14"/>
  <c r="AI216" i="14"/>
  <c r="AH216" i="14"/>
  <c r="AG216" i="14"/>
  <c r="AF216" i="14"/>
  <c r="AE216" i="14"/>
  <c r="AD216" i="14"/>
  <c r="AC216" i="14"/>
  <c r="AR216" i="14" s="1"/>
  <c r="AB216" i="14"/>
  <c r="AA216" i="14"/>
  <c r="Z216" i="14"/>
  <c r="Y216" i="14"/>
  <c r="AJ215" i="14"/>
  <c r="AI215" i="14"/>
  <c r="AH215" i="14"/>
  <c r="AG215" i="14"/>
  <c r="AF215" i="14"/>
  <c r="AE215" i="14"/>
  <c r="AD215" i="14"/>
  <c r="AC215" i="14"/>
  <c r="AR215" i="14" s="1"/>
  <c r="AB215" i="14"/>
  <c r="AA215" i="14"/>
  <c r="Z215" i="14"/>
  <c r="Y215" i="14"/>
  <c r="AJ214" i="14"/>
  <c r="AI214" i="14"/>
  <c r="AH214" i="14"/>
  <c r="AG214" i="14"/>
  <c r="AF214" i="14"/>
  <c r="AE214" i="14"/>
  <c r="AD214" i="14"/>
  <c r="AC214" i="14"/>
  <c r="AR214" i="14" s="1"/>
  <c r="AB214" i="14"/>
  <c r="AA214" i="14"/>
  <c r="Z214" i="14"/>
  <c r="Y214" i="14"/>
  <c r="AJ213" i="14"/>
  <c r="AI213" i="14"/>
  <c r="AH213" i="14"/>
  <c r="AG213" i="14"/>
  <c r="AF213" i="14"/>
  <c r="AE213" i="14"/>
  <c r="AD213" i="14"/>
  <c r="AC213" i="14"/>
  <c r="AR213" i="14" s="1"/>
  <c r="AB213" i="14"/>
  <c r="AA213" i="14"/>
  <c r="Z213" i="14"/>
  <c r="Y213" i="14"/>
  <c r="AJ212" i="14"/>
  <c r="AI212" i="14"/>
  <c r="AH212" i="14"/>
  <c r="AG212" i="14"/>
  <c r="AF212" i="14"/>
  <c r="AE212" i="14"/>
  <c r="AD212" i="14"/>
  <c r="AC212" i="14"/>
  <c r="AR212" i="14" s="1"/>
  <c r="AB212" i="14"/>
  <c r="AA212" i="14"/>
  <c r="Z212" i="14"/>
  <c r="Y212" i="14"/>
  <c r="AJ211" i="14"/>
  <c r="AI211" i="14"/>
  <c r="AH211" i="14"/>
  <c r="AG211" i="14"/>
  <c r="AF211" i="14"/>
  <c r="AE211" i="14"/>
  <c r="AD211" i="14"/>
  <c r="AC211" i="14"/>
  <c r="AR211" i="14" s="1"/>
  <c r="AB211" i="14"/>
  <c r="AA211" i="14"/>
  <c r="Z211" i="14"/>
  <c r="Y211" i="14"/>
  <c r="AJ210" i="14"/>
  <c r="AI210" i="14"/>
  <c r="AH210" i="14"/>
  <c r="AG210" i="14"/>
  <c r="AF210" i="14"/>
  <c r="AE210" i="14"/>
  <c r="AD210" i="14"/>
  <c r="AC210" i="14"/>
  <c r="AR210" i="14" s="1"/>
  <c r="AB210" i="14"/>
  <c r="AA210" i="14"/>
  <c r="Z210" i="14"/>
  <c r="Y210" i="14"/>
  <c r="AJ209" i="14"/>
  <c r="AI209" i="14"/>
  <c r="AH209" i="14"/>
  <c r="AG209" i="14"/>
  <c r="AF209" i="14"/>
  <c r="AE209" i="14"/>
  <c r="AD209" i="14"/>
  <c r="AC209" i="14"/>
  <c r="AR209" i="14" s="1"/>
  <c r="AB209" i="14"/>
  <c r="AA209" i="14"/>
  <c r="Z209" i="14"/>
  <c r="Y209" i="14"/>
  <c r="AJ208" i="14"/>
  <c r="AI208" i="14"/>
  <c r="AH208" i="14"/>
  <c r="AG208" i="14"/>
  <c r="AF208" i="14"/>
  <c r="AE208" i="14"/>
  <c r="AD208" i="14"/>
  <c r="AC208" i="14"/>
  <c r="AR208" i="14" s="1"/>
  <c r="AB208" i="14"/>
  <c r="AA208" i="14"/>
  <c r="Z208" i="14"/>
  <c r="Y208" i="14"/>
  <c r="AJ207" i="14"/>
  <c r="AI207" i="14"/>
  <c r="AH207" i="14"/>
  <c r="AG207" i="14"/>
  <c r="AF207" i="14"/>
  <c r="AE207" i="14"/>
  <c r="AD207" i="14"/>
  <c r="AC207" i="14"/>
  <c r="AR207" i="14" s="1"/>
  <c r="AB207" i="14"/>
  <c r="AA207" i="14"/>
  <c r="Z207" i="14"/>
  <c r="Y207" i="14"/>
  <c r="AJ206" i="14"/>
  <c r="AI206" i="14"/>
  <c r="AH206" i="14"/>
  <c r="AG206" i="14"/>
  <c r="AF206" i="14"/>
  <c r="AE206" i="14"/>
  <c r="AD206" i="14"/>
  <c r="AC206" i="14"/>
  <c r="AR206" i="14" s="1"/>
  <c r="AB206" i="14"/>
  <c r="AA206" i="14"/>
  <c r="Z206" i="14"/>
  <c r="Y206" i="14"/>
  <c r="AJ205" i="14"/>
  <c r="AI205" i="14"/>
  <c r="AH205" i="14"/>
  <c r="AG205" i="14"/>
  <c r="AF205" i="14"/>
  <c r="AE205" i="14"/>
  <c r="AD205" i="14"/>
  <c r="AC205" i="14"/>
  <c r="AR205" i="14" s="1"/>
  <c r="AB205" i="14"/>
  <c r="AA205" i="14"/>
  <c r="Z205" i="14"/>
  <c r="Y205" i="14"/>
  <c r="AJ204" i="14"/>
  <c r="AI204" i="14"/>
  <c r="AH204" i="14"/>
  <c r="AG204" i="14"/>
  <c r="AF204" i="14"/>
  <c r="AE204" i="14"/>
  <c r="AD204" i="14"/>
  <c r="AC204" i="14"/>
  <c r="AR204" i="14" s="1"/>
  <c r="AB204" i="14"/>
  <c r="AA204" i="14"/>
  <c r="Z204" i="14"/>
  <c r="Y204" i="14"/>
  <c r="AJ203" i="14"/>
  <c r="AI203" i="14"/>
  <c r="AH203" i="14"/>
  <c r="AG203" i="14"/>
  <c r="AF203" i="14"/>
  <c r="AE203" i="14"/>
  <c r="AD203" i="14"/>
  <c r="AC203" i="14"/>
  <c r="AR203" i="14" s="1"/>
  <c r="AB203" i="14"/>
  <c r="AA203" i="14"/>
  <c r="Z203" i="14"/>
  <c r="Y203" i="14"/>
  <c r="AJ202" i="14"/>
  <c r="AI202" i="14"/>
  <c r="AH202" i="14"/>
  <c r="AG202" i="14"/>
  <c r="AF202" i="14"/>
  <c r="AE202" i="14"/>
  <c r="AD202" i="14"/>
  <c r="AC202" i="14"/>
  <c r="AR202" i="14" s="1"/>
  <c r="AB202" i="14"/>
  <c r="AA202" i="14"/>
  <c r="Z202" i="14"/>
  <c r="Y202" i="14"/>
  <c r="AJ201" i="14"/>
  <c r="AI201" i="14"/>
  <c r="AH201" i="14"/>
  <c r="AG201" i="14"/>
  <c r="AF201" i="14"/>
  <c r="AE201" i="14"/>
  <c r="AD201" i="14"/>
  <c r="AC201" i="14"/>
  <c r="AR201" i="14" s="1"/>
  <c r="AB201" i="14"/>
  <c r="AA201" i="14"/>
  <c r="Z201" i="14"/>
  <c r="Y201" i="14"/>
  <c r="AJ200" i="14"/>
  <c r="AI200" i="14"/>
  <c r="AH200" i="14"/>
  <c r="AG200" i="14"/>
  <c r="AF200" i="14"/>
  <c r="AE200" i="14"/>
  <c r="AD200" i="14"/>
  <c r="AC200" i="14"/>
  <c r="AR200" i="14" s="1"/>
  <c r="AB200" i="14"/>
  <c r="AA200" i="14"/>
  <c r="Z200" i="14"/>
  <c r="Y200" i="14"/>
  <c r="AJ199" i="14"/>
  <c r="AI199" i="14"/>
  <c r="AH199" i="14"/>
  <c r="AG199" i="14"/>
  <c r="AF199" i="14"/>
  <c r="AE199" i="14"/>
  <c r="AD199" i="14"/>
  <c r="AC199" i="14"/>
  <c r="AR199" i="14" s="1"/>
  <c r="AB199" i="14"/>
  <c r="AA199" i="14"/>
  <c r="Z199" i="14"/>
  <c r="Y199" i="14"/>
  <c r="AJ198" i="14"/>
  <c r="AI198" i="14"/>
  <c r="AH198" i="14"/>
  <c r="AG198" i="14"/>
  <c r="AF198" i="14"/>
  <c r="AE198" i="14"/>
  <c r="AD198" i="14"/>
  <c r="AC198" i="14"/>
  <c r="AR198" i="14" s="1"/>
  <c r="AB198" i="14"/>
  <c r="AA198" i="14"/>
  <c r="Z198" i="14"/>
  <c r="Y198" i="14"/>
  <c r="AJ197" i="14"/>
  <c r="AI197" i="14"/>
  <c r="AH197" i="14"/>
  <c r="AG197" i="14"/>
  <c r="AF197" i="14"/>
  <c r="AE197" i="14"/>
  <c r="AD197" i="14"/>
  <c r="AC197" i="14"/>
  <c r="AR197" i="14" s="1"/>
  <c r="AB197" i="14"/>
  <c r="AA197" i="14"/>
  <c r="Z197" i="14"/>
  <c r="Y197" i="14"/>
  <c r="AJ196" i="14"/>
  <c r="AI196" i="14"/>
  <c r="AH196" i="14"/>
  <c r="AG196" i="14"/>
  <c r="AF196" i="14"/>
  <c r="AE196" i="14"/>
  <c r="AD196" i="14"/>
  <c r="AC196" i="14"/>
  <c r="AR196" i="14" s="1"/>
  <c r="AB196" i="14"/>
  <c r="AA196" i="14"/>
  <c r="Z196" i="14"/>
  <c r="Y196" i="14"/>
  <c r="AJ195" i="14"/>
  <c r="AI195" i="14"/>
  <c r="AH195" i="14"/>
  <c r="AG195" i="14"/>
  <c r="AF195" i="14"/>
  <c r="AE195" i="14"/>
  <c r="AD195" i="14"/>
  <c r="AC195" i="14"/>
  <c r="AR195" i="14" s="1"/>
  <c r="AB195" i="14"/>
  <c r="AA195" i="14"/>
  <c r="Z195" i="14"/>
  <c r="Y195" i="14"/>
  <c r="AJ194" i="14"/>
  <c r="AI194" i="14"/>
  <c r="AH194" i="14"/>
  <c r="AG194" i="14"/>
  <c r="AF194" i="14"/>
  <c r="AE194" i="14"/>
  <c r="AD194" i="14"/>
  <c r="AC194" i="14"/>
  <c r="AR194" i="14" s="1"/>
  <c r="AB194" i="14"/>
  <c r="AA194" i="14"/>
  <c r="Z194" i="14"/>
  <c r="Y194" i="14"/>
  <c r="AJ193" i="14"/>
  <c r="AI193" i="14"/>
  <c r="AH193" i="14"/>
  <c r="AG193" i="14"/>
  <c r="AF193" i="14"/>
  <c r="AE193" i="14"/>
  <c r="AD193" i="14"/>
  <c r="AC193" i="14"/>
  <c r="AR193" i="14" s="1"/>
  <c r="AB193" i="14"/>
  <c r="AA193" i="14"/>
  <c r="Z193" i="14"/>
  <c r="Y193" i="14"/>
  <c r="AJ192" i="14"/>
  <c r="AI192" i="14"/>
  <c r="AH192" i="14"/>
  <c r="AG192" i="14"/>
  <c r="AF192" i="14"/>
  <c r="AE192" i="14"/>
  <c r="AD192" i="14"/>
  <c r="AC192" i="14"/>
  <c r="AR192" i="14" s="1"/>
  <c r="AB192" i="14"/>
  <c r="AA192" i="14"/>
  <c r="Z192" i="14"/>
  <c r="Y192" i="14"/>
  <c r="AJ191" i="14"/>
  <c r="AI191" i="14"/>
  <c r="AH191" i="14"/>
  <c r="AG191" i="14"/>
  <c r="AF191" i="14"/>
  <c r="AE191" i="14"/>
  <c r="AD191" i="14"/>
  <c r="AC191" i="14"/>
  <c r="AR191" i="14" s="1"/>
  <c r="AB191" i="14"/>
  <c r="AA191" i="14"/>
  <c r="Z191" i="14"/>
  <c r="Y191" i="14"/>
  <c r="AJ190" i="14"/>
  <c r="AI190" i="14"/>
  <c r="AH190" i="14"/>
  <c r="AG190" i="14"/>
  <c r="AF190" i="14"/>
  <c r="AE190" i="14"/>
  <c r="AD190" i="14"/>
  <c r="AC190" i="14"/>
  <c r="AR190" i="14" s="1"/>
  <c r="AB190" i="14"/>
  <c r="AA190" i="14"/>
  <c r="Z190" i="14"/>
  <c r="Y190" i="14"/>
  <c r="AJ189" i="14"/>
  <c r="AI189" i="14"/>
  <c r="AH189" i="14"/>
  <c r="AG189" i="14"/>
  <c r="AF189" i="14"/>
  <c r="AE189" i="14"/>
  <c r="AD189" i="14"/>
  <c r="AC189" i="14"/>
  <c r="AR189" i="14" s="1"/>
  <c r="AB189" i="14"/>
  <c r="AA189" i="14"/>
  <c r="Z189" i="14"/>
  <c r="Y189" i="14"/>
  <c r="AJ188" i="14"/>
  <c r="AI188" i="14"/>
  <c r="AH188" i="14"/>
  <c r="AG188" i="14"/>
  <c r="AF188" i="14"/>
  <c r="AE188" i="14"/>
  <c r="AD188" i="14"/>
  <c r="AC188" i="14"/>
  <c r="AR188" i="14" s="1"/>
  <c r="AB188" i="14"/>
  <c r="AA188" i="14"/>
  <c r="Z188" i="14"/>
  <c r="Y188" i="14"/>
  <c r="AJ187" i="14"/>
  <c r="AI187" i="14"/>
  <c r="AH187" i="14"/>
  <c r="AG187" i="14"/>
  <c r="AF187" i="14"/>
  <c r="AE187" i="14"/>
  <c r="AB187" i="14"/>
  <c r="AA187" i="14"/>
  <c r="Z187" i="14"/>
  <c r="AJ186" i="14"/>
  <c r="AI186" i="14"/>
  <c r="AH186" i="14"/>
  <c r="AG186" i="14"/>
  <c r="AF186" i="14"/>
  <c r="AE186" i="14"/>
  <c r="AD186" i="14"/>
  <c r="AC186" i="14"/>
  <c r="AR186" i="14" s="1"/>
  <c r="AB186" i="14"/>
  <c r="AA186" i="14"/>
  <c r="Z186" i="14"/>
  <c r="Y186" i="14"/>
  <c r="AJ185" i="14"/>
  <c r="AI185" i="14"/>
  <c r="AH185" i="14"/>
  <c r="AG185" i="14"/>
  <c r="AF185" i="14"/>
  <c r="AE185" i="14"/>
  <c r="AD185" i="14"/>
  <c r="AC185" i="14"/>
  <c r="AR185" i="14" s="1"/>
  <c r="AB185" i="14"/>
  <c r="AA185" i="14"/>
  <c r="Z185" i="14"/>
  <c r="Y185" i="14"/>
  <c r="AJ184" i="14"/>
  <c r="AI184" i="14"/>
  <c r="AH184" i="14"/>
  <c r="AG184" i="14"/>
  <c r="AF184" i="14"/>
  <c r="AE184" i="14"/>
  <c r="AD184" i="14"/>
  <c r="AC184" i="14"/>
  <c r="AR184" i="14" s="1"/>
  <c r="AB184" i="14"/>
  <c r="AA184" i="14"/>
  <c r="Z184" i="14"/>
  <c r="Y184" i="14"/>
  <c r="AJ183" i="14"/>
  <c r="AI183" i="14"/>
  <c r="AH183" i="14"/>
  <c r="AG183" i="14"/>
  <c r="AF183" i="14"/>
  <c r="AE183" i="14"/>
  <c r="AD183" i="14"/>
  <c r="AC183" i="14"/>
  <c r="AR183" i="14" s="1"/>
  <c r="AB183" i="14"/>
  <c r="AA183" i="14"/>
  <c r="Z183" i="14"/>
  <c r="Y183" i="14"/>
  <c r="AJ182" i="14"/>
  <c r="AI182" i="14"/>
  <c r="AH182" i="14"/>
  <c r="AG182" i="14"/>
  <c r="AF182" i="14"/>
  <c r="AE182" i="14"/>
  <c r="AD182" i="14"/>
  <c r="AC182" i="14"/>
  <c r="AR182" i="14" s="1"/>
  <c r="AB182" i="14"/>
  <c r="AA182" i="14"/>
  <c r="Z182" i="14"/>
  <c r="Y182" i="14"/>
  <c r="AJ181" i="14"/>
  <c r="AI181" i="14"/>
  <c r="AH181" i="14"/>
  <c r="AG181" i="14"/>
  <c r="AF181" i="14"/>
  <c r="AE181" i="14"/>
  <c r="AD181" i="14"/>
  <c r="AC181" i="14"/>
  <c r="AR181" i="14" s="1"/>
  <c r="AB181" i="14"/>
  <c r="AA181" i="14"/>
  <c r="Z181" i="14"/>
  <c r="Y181" i="14"/>
  <c r="AJ180" i="14"/>
  <c r="AI180" i="14"/>
  <c r="AH180" i="14"/>
  <c r="AG180" i="14"/>
  <c r="AF180" i="14"/>
  <c r="AE180" i="14"/>
  <c r="AD180" i="14"/>
  <c r="AC180" i="14"/>
  <c r="AR180" i="14" s="1"/>
  <c r="AB180" i="14"/>
  <c r="AA180" i="14"/>
  <c r="Z180" i="14"/>
  <c r="Y180" i="14"/>
  <c r="AJ179" i="14"/>
  <c r="AI179" i="14"/>
  <c r="AH179" i="14"/>
  <c r="AG179" i="14"/>
  <c r="AF179" i="14"/>
  <c r="AE179" i="14"/>
  <c r="AD179" i="14"/>
  <c r="AC179" i="14"/>
  <c r="AR179" i="14" s="1"/>
  <c r="AB179" i="14"/>
  <c r="AA179" i="14"/>
  <c r="Z179" i="14"/>
  <c r="Y179" i="14"/>
  <c r="AJ178" i="14"/>
  <c r="AI178" i="14"/>
  <c r="AH178" i="14"/>
  <c r="AG178" i="14"/>
  <c r="AF178" i="14"/>
  <c r="AE178" i="14"/>
  <c r="AD178" i="14"/>
  <c r="AC178" i="14"/>
  <c r="AR178" i="14" s="1"/>
  <c r="AB178" i="14"/>
  <c r="AA178" i="14"/>
  <c r="Z178" i="14"/>
  <c r="Y178" i="14"/>
  <c r="AJ177" i="14"/>
  <c r="AI177" i="14"/>
  <c r="AH177" i="14"/>
  <c r="AG177" i="14"/>
  <c r="AF177" i="14"/>
  <c r="AE177" i="14"/>
  <c r="AD177" i="14"/>
  <c r="AC177" i="14"/>
  <c r="AR177" i="14" s="1"/>
  <c r="AB177" i="14"/>
  <c r="AA177" i="14"/>
  <c r="Z177" i="14"/>
  <c r="Y177" i="14"/>
  <c r="AJ176" i="14"/>
  <c r="AI176" i="14"/>
  <c r="AH176" i="14"/>
  <c r="AG176" i="14"/>
  <c r="AF176" i="14"/>
  <c r="AE176" i="14"/>
  <c r="AD176" i="14"/>
  <c r="AC176" i="14"/>
  <c r="AR176" i="14" s="1"/>
  <c r="AB176" i="14"/>
  <c r="AA176" i="14"/>
  <c r="Z176" i="14"/>
  <c r="Y176" i="14"/>
  <c r="AJ175" i="14"/>
  <c r="AI175" i="14"/>
  <c r="AH175" i="14"/>
  <c r="AG175" i="14"/>
  <c r="AF175" i="14"/>
  <c r="AE175" i="14"/>
  <c r="AD175" i="14"/>
  <c r="AC175" i="14"/>
  <c r="AR175" i="14" s="1"/>
  <c r="AB175" i="14"/>
  <c r="AA175" i="14"/>
  <c r="Z175" i="14"/>
  <c r="Y175" i="14"/>
  <c r="AJ174" i="14"/>
  <c r="AI174" i="14"/>
  <c r="AH174" i="14"/>
  <c r="AG174" i="14"/>
  <c r="AF174" i="14"/>
  <c r="AE174" i="14"/>
  <c r="AD174" i="14"/>
  <c r="AC174" i="14"/>
  <c r="AR174" i="14" s="1"/>
  <c r="AB174" i="14"/>
  <c r="AA174" i="14"/>
  <c r="Z174" i="14"/>
  <c r="Y174" i="14"/>
  <c r="AJ173" i="14"/>
  <c r="AI173" i="14"/>
  <c r="AH173" i="14"/>
  <c r="AG173" i="14"/>
  <c r="AF173" i="14"/>
  <c r="AE173" i="14"/>
  <c r="AD173" i="14"/>
  <c r="AC173" i="14"/>
  <c r="AR173" i="14" s="1"/>
  <c r="AB173" i="14"/>
  <c r="AA173" i="14"/>
  <c r="Z173" i="14"/>
  <c r="Y173" i="14"/>
  <c r="AJ172" i="14"/>
  <c r="AI172" i="14"/>
  <c r="AH172" i="14"/>
  <c r="AG172" i="14"/>
  <c r="AF172" i="14"/>
  <c r="AE172" i="14"/>
  <c r="AD172" i="14"/>
  <c r="AC172" i="14"/>
  <c r="AR172" i="14" s="1"/>
  <c r="AB172" i="14"/>
  <c r="AA172" i="14"/>
  <c r="Z172" i="14"/>
  <c r="Y172" i="14"/>
  <c r="AJ171" i="14"/>
  <c r="AI171" i="14"/>
  <c r="AH171" i="14"/>
  <c r="AG171" i="14"/>
  <c r="AF171" i="14"/>
  <c r="AE171" i="14"/>
  <c r="AD171" i="14"/>
  <c r="AC171" i="14"/>
  <c r="AR171" i="14" s="1"/>
  <c r="AB171" i="14"/>
  <c r="AA171" i="14"/>
  <c r="Z171" i="14"/>
  <c r="Y171" i="14"/>
  <c r="AJ170" i="14"/>
  <c r="AI170" i="14"/>
  <c r="AH170" i="14"/>
  <c r="AG170" i="14"/>
  <c r="AF170" i="14"/>
  <c r="AE170" i="14"/>
  <c r="AD170" i="14"/>
  <c r="AC170" i="14"/>
  <c r="AR170" i="14" s="1"/>
  <c r="AB170" i="14"/>
  <c r="AA170" i="14"/>
  <c r="Z170" i="14"/>
  <c r="Y170" i="14"/>
  <c r="AJ169" i="14"/>
  <c r="AI169" i="14"/>
  <c r="AH169" i="14"/>
  <c r="AG169" i="14"/>
  <c r="AF169" i="14"/>
  <c r="AE169" i="14"/>
  <c r="AD169" i="14"/>
  <c r="AC169" i="14"/>
  <c r="AR169" i="14" s="1"/>
  <c r="AB169" i="14"/>
  <c r="AA169" i="14"/>
  <c r="Z169" i="14"/>
  <c r="Y169" i="14"/>
  <c r="AJ168" i="14"/>
  <c r="AI168" i="14"/>
  <c r="AH168" i="14"/>
  <c r="AG168" i="14"/>
  <c r="AF168" i="14"/>
  <c r="AE168" i="14"/>
  <c r="AD168" i="14"/>
  <c r="AC168" i="14"/>
  <c r="AR168" i="14" s="1"/>
  <c r="AB168" i="14"/>
  <c r="AA168" i="14"/>
  <c r="Z168" i="14"/>
  <c r="Y168" i="14"/>
  <c r="AJ167" i="14"/>
  <c r="AI167" i="14"/>
  <c r="AH167" i="14"/>
  <c r="AG167" i="14"/>
  <c r="AF167" i="14"/>
  <c r="AE167" i="14"/>
  <c r="AD167" i="14"/>
  <c r="AC167" i="14"/>
  <c r="AR167" i="14" s="1"/>
  <c r="AB167" i="14"/>
  <c r="AA167" i="14"/>
  <c r="Z167" i="14"/>
  <c r="Y167" i="14"/>
  <c r="AR166" i="14"/>
  <c r="AJ166" i="14"/>
  <c r="AI166" i="14"/>
  <c r="AH166" i="14"/>
  <c r="AG166" i="14"/>
  <c r="AF166" i="14"/>
  <c r="AE166" i="14"/>
  <c r="AD166" i="14"/>
  <c r="AC166" i="14"/>
  <c r="AB166" i="14"/>
  <c r="AA166" i="14"/>
  <c r="Z166" i="14"/>
  <c r="Y166" i="14"/>
  <c r="AJ165" i="14"/>
  <c r="AI165" i="14"/>
  <c r="AH165" i="14"/>
  <c r="AG165" i="14"/>
  <c r="AF165" i="14"/>
  <c r="AE165" i="14"/>
  <c r="AD165" i="14"/>
  <c r="AC165" i="14"/>
  <c r="AR165" i="14" s="1"/>
  <c r="AB165" i="14"/>
  <c r="AA165" i="14"/>
  <c r="Z165" i="14"/>
  <c r="Y165" i="14"/>
  <c r="AJ164" i="14"/>
  <c r="AI164" i="14"/>
  <c r="AH164" i="14"/>
  <c r="AG164" i="14"/>
  <c r="AF164" i="14"/>
  <c r="AE164" i="14"/>
  <c r="AD164" i="14"/>
  <c r="AC164" i="14"/>
  <c r="AR164" i="14" s="1"/>
  <c r="AB164" i="14"/>
  <c r="AA164" i="14"/>
  <c r="Z164" i="14"/>
  <c r="Y164" i="14"/>
  <c r="AJ163" i="14"/>
  <c r="AI163" i="14"/>
  <c r="AH163" i="14"/>
  <c r="AG163" i="14"/>
  <c r="AF163" i="14"/>
  <c r="AE163" i="14"/>
  <c r="AD163" i="14"/>
  <c r="AC163" i="14"/>
  <c r="AR163" i="14" s="1"/>
  <c r="AB163" i="14"/>
  <c r="AA163" i="14"/>
  <c r="Z163" i="14"/>
  <c r="Y163" i="14"/>
  <c r="AJ162" i="14"/>
  <c r="AI162" i="14"/>
  <c r="AH162" i="14"/>
  <c r="AG162" i="14"/>
  <c r="AF162" i="14"/>
  <c r="AE162" i="14"/>
  <c r="AD162" i="14"/>
  <c r="AC162" i="14"/>
  <c r="AR162" i="14" s="1"/>
  <c r="AB162" i="14"/>
  <c r="AA162" i="14"/>
  <c r="Z162" i="14"/>
  <c r="Y162" i="14"/>
  <c r="AJ161" i="14"/>
  <c r="AI161" i="14"/>
  <c r="AH161" i="14"/>
  <c r="AG161" i="14"/>
  <c r="AF161" i="14"/>
  <c r="AE161" i="14"/>
  <c r="AD161" i="14"/>
  <c r="AC161" i="14"/>
  <c r="AR161" i="14" s="1"/>
  <c r="AB161" i="14"/>
  <c r="AA161" i="14"/>
  <c r="Z161" i="14"/>
  <c r="Y161" i="14"/>
  <c r="AJ160" i="14"/>
  <c r="AI160" i="14"/>
  <c r="AH160" i="14"/>
  <c r="AG160" i="14"/>
  <c r="AF160" i="14"/>
  <c r="AE160" i="14"/>
  <c r="AD160" i="14"/>
  <c r="AC160" i="14"/>
  <c r="AR160" i="14" s="1"/>
  <c r="AB160" i="14"/>
  <c r="AA160" i="14"/>
  <c r="Z160" i="14"/>
  <c r="Y160" i="14"/>
  <c r="AJ159" i="14"/>
  <c r="AI159" i="14"/>
  <c r="AH159" i="14"/>
  <c r="AG159" i="14"/>
  <c r="AF159" i="14"/>
  <c r="AE159" i="14"/>
  <c r="AD159" i="14"/>
  <c r="AC159" i="14"/>
  <c r="AR159" i="14" s="1"/>
  <c r="AB159" i="14"/>
  <c r="AA159" i="14"/>
  <c r="Z159" i="14"/>
  <c r="Y159" i="14"/>
  <c r="AJ158" i="14"/>
  <c r="AI158" i="14"/>
  <c r="AH158" i="14"/>
  <c r="AG158" i="14"/>
  <c r="AF158" i="14"/>
  <c r="AE158" i="14"/>
  <c r="AD158" i="14"/>
  <c r="AC158" i="14"/>
  <c r="AR158" i="14" s="1"/>
  <c r="AB158" i="14"/>
  <c r="AA158" i="14"/>
  <c r="Z158" i="14"/>
  <c r="Y158" i="14"/>
  <c r="AJ157" i="14"/>
  <c r="AI157" i="14"/>
  <c r="AH157" i="14"/>
  <c r="AG157" i="14"/>
  <c r="AF157" i="14"/>
  <c r="AE157" i="14"/>
  <c r="AD157" i="14"/>
  <c r="AC157" i="14"/>
  <c r="AR157" i="14" s="1"/>
  <c r="AB157" i="14"/>
  <c r="AA157" i="14"/>
  <c r="Z157" i="14"/>
  <c r="Y157" i="14"/>
  <c r="AJ156" i="14"/>
  <c r="AI156" i="14"/>
  <c r="AH156" i="14"/>
  <c r="AG156" i="14"/>
  <c r="AF156" i="14"/>
  <c r="AE156" i="14"/>
  <c r="AD156" i="14"/>
  <c r="AC156" i="14"/>
  <c r="AR156" i="14" s="1"/>
  <c r="AB156" i="14"/>
  <c r="AA156" i="14"/>
  <c r="Z156" i="14"/>
  <c r="Y156" i="14"/>
  <c r="AJ155" i="14"/>
  <c r="AI155" i="14"/>
  <c r="AH155" i="14"/>
  <c r="AG155" i="14"/>
  <c r="AF155" i="14"/>
  <c r="AE155" i="14"/>
  <c r="AD155" i="14"/>
  <c r="AC155" i="14"/>
  <c r="AR155" i="14" s="1"/>
  <c r="AB155" i="14"/>
  <c r="AA155" i="14"/>
  <c r="Z155" i="14"/>
  <c r="Y155" i="14"/>
  <c r="AJ154" i="14"/>
  <c r="AI154" i="14"/>
  <c r="AH154" i="14"/>
  <c r="AG154" i="14"/>
  <c r="AF154" i="14"/>
  <c r="AE154" i="14"/>
  <c r="AD154" i="14"/>
  <c r="AC154" i="14"/>
  <c r="AR154" i="14" s="1"/>
  <c r="AB154" i="14"/>
  <c r="AA154" i="14"/>
  <c r="Z154" i="14"/>
  <c r="Y154" i="14"/>
  <c r="AJ153" i="14"/>
  <c r="AI153" i="14"/>
  <c r="AH153" i="14"/>
  <c r="AG153" i="14"/>
  <c r="AF153" i="14"/>
  <c r="AE153" i="14"/>
  <c r="AD153" i="14"/>
  <c r="AC153" i="14"/>
  <c r="AR153" i="14" s="1"/>
  <c r="AB153" i="14"/>
  <c r="AA153" i="14"/>
  <c r="Z153" i="14"/>
  <c r="Y153" i="14"/>
  <c r="AJ152" i="14"/>
  <c r="AI152" i="14"/>
  <c r="AH152" i="14"/>
  <c r="AG152" i="14"/>
  <c r="AF152" i="14"/>
  <c r="AE152" i="14"/>
  <c r="AD152" i="14"/>
  <c r="AC152" i="14"/>
  <c r="AR152" i="14" s="1"/>
  <c r="AB152" i="14"/>
  <c r="AA152" i="14"/>
  <c r="Z152" i="14"/>
  <c r="Y152" i="14"/>
  <c r="AJ151" i="14"/>
  <c r="AI151" i="14"/>
  <c r="AH151" i="14"/>
  <c r="AG151" i="14"/>
  <c r="AF151" i="14"/>
  <c r="AE151" i="14"/>
  <c r="AD151" i="14"/>
  <c r="AC151" i="14"/>
  <c r="AR151" i="14" s="1"/>
  <c r="AB151" i="14"/>
  <c r="AA151" i="14"/>
  <c r="Z151" i="14"/>
  <c r="Y151" i="14"/>
  <c r="AJ150" i="14"/>
  <c r="AI150" i="14"/>
  <c r="AH150" i="14"/>
  <c r="AG150" i="14"/>
  <c r="AF150" i="14"/>
  <c r="AE150" i="14"/>
  <c r="AD150" i="14"/>
  <c r="AC150" i="14"/>
  <c r="AR150" i="14" s="1"/>
  <c r="AB150" i="14"/>
  <c r="AA150" i="14"/>
  <c r="Z150" i="14"/>
  <c r="Y150" i="14"/>
  <c r="AJ149" i="14"/>
  <c r="AI149" i="14"/>
  <c r="AH149" i="14"/>
  <c r="AG149" i="14"/>
  <c r="AF149" i="14"/>
  <c r="AE149" i="14"/>
  <c r="AD149" i="14"/>
  <c r="AC149" i="14"/>
  <c r="AR149" i="14" s="1"/>
  <c r="AB149" i="14"/>
  <c r="AA149" i="14"/>
  <c r="Z149" i="14"/>
  <c r="Y149" i="14"/>
  <c r="AJ148" i="14"/>
  <c r="AI148" i="14"/>
  <c r="AH148" i="14"/>
  <c r="AG148" i="14"/>
  <c r="AF148" i="14"/>
  <c r="AE148" i="14"/>
  <c r="AD148" i="14"/>
  <c r="AC148" i="14"/>
  <c r="AR148" i="14" s="1"/>
  <c r="AB148" i="14"/>
  <c r="AA148" i="14"/>
  <c r="Z148" i="14"/>
  <c r="Y148" i="14"/>
  <c r="AJ147" i="14"/>
  <c r="AI147" i="14"/>
  <c r="AH147" i="14"/>
  <c r="AG147" i="14"/>
  <c r="AF147" i="14"/>
  <c r="AE147" i="14"/>
  <c r="AD147" i="14"/>
  <c r="AC147" i="14"/>
  <c r="AR147" i="14" s="1"/>
  <c r="AB147" i="14"/>
  <c r="AA147" i="14"/>
  <c r="Z147" i="14"/>
  <c r="Y147" i="14"/>
  <c r="AJ146" i="14"/>
  <c r="AI146" i="14"/>
  <c r="AH146" i="14"/>
  <c r="AG146" i="14"/>
  <c r="AF146" i="14"/>
  <c r="AE146" i="14"/>
  <c r="AD146" i="14"/>
  <c r="AC146" i="14"/>
  <c r="AR146" i="14" s="1"/>
  <c r="AB146" i="14"/>
  <c r="AA146" i="14"/>
  <c r="Z146" i="14"/>
  <c r="Y146" i="14"/>
  <c r="AJ145" i="14"/>
  <c r="AI145" i="14"/>
  <c r="AH145" i="14"/>
  <c r="AG145" i="14"/>
  <c r="AF145" i="14"/>
  <c r="AE145" i="14"/>
  <c r="AD145" i="14"/>
  <c r="AC145" i="14"/>
  <c r="AR145" i="14" s="1"/>
  <c r="AB145" i="14"/>
  <c r="AA145" i="14"/>
  <c r="Z145" i="14"/>
  <c r="Y145" i="14"/>
  <c r="AJ144" i="14"/>
  <c r="AI144" i="14"/>
  <c r="AH144" i="14"/>
  <c r="AG144" i="14"/>
  <c r="AF144" i="14"/>
  <c r="AE144" i="14"/>
  <c r="AD144" i="14"/>
  <c r="AC144" i="14"/>
  <c r="AR144" i="14" s="1"/>
  <c r="AB144" i="14"/>
  <c r="AA144" i="14"/>
  <c r="Z144" i="14"/>
  <c r="Y144" i="14"/>
  <c r="AJ143" i="14"/>
  <c r="AI143" i="14"/>
  <c r="AH143" i="14"/>
  <c r="AG143" i="14"/>
  <c r="AF143" i="14"/>
  <c r="AE143" i="14"/>
  <c r="AD143" i="14"/>
  <c r="AC143" i="14"/>
  <c r="AR143" i="14" s="1"/>
  <c r="AB143" i="14"/>
  <c r="AA143" i="14"/>
  <c r="Z143" i="14"/>
  <c r="Y143" i="14"/>
  <c r="AJ142" i="14"/>
  <c r="AI142" i="14"/>
  <c r="AH142" i="14"/>
  <c r="AG142" i="14"/>
  <c r="AF142" i="14"/>
  <c r="AE142" i="14"/>
  <c r="AD142" i="14"/>
  <c r="AC142" i="14"/>
  <c r="AR142" i="14" s="1"/>
  <c r="AB142" i="14"/>
  <c r="AA142" i="14"/>
  <c r="Z142" i="14"/>
  <c r="Y142" i="14"/>
  <c r="AJ141" i="14"/>
  <c r="AI141" i="14"/>
  <c r="AH141" i="14"/>
  <c r="AG141" i="14"/>
  <c r="AF141" i="14"/>
  <c r="AE141" i="14"/>
  <c r="AD141" i="14"/>
  <c r="AC141" i="14"/>
  <c r="AR141" i="14" s="1"/>
  <c r="AB141" i="14"/>
  <c r="AA141" i="14"/>
  <c r="Z141" i="14"/>
  <c r="Y141" i="14"/>
  <c r="AJ140" i="14"/>
  <c r="AI140" i="14"/>
  <c r="AH140" i="14"/>
  <c r="AG140" i="14"/>
  <c r="AF140" i="14"/>
  <c r="AE140" i="14"/>
  <c r="AD140" i="14"/>
  <c r="AC140" i="14"/>
  <c r="AR140" i="14" s="1"/>
  <c r="AB140" i="14"/>
  <c r="AA140" i="14"/>
  <c r="Z140" i="14"/>
  <c r="Y140" i="14"/>
  <c r="AJ139" i="14"/>
  <c r="AI139" i="14"/>
  <c r="AH139" i="14"/>
  <c r="AG139" i="14"/>
  <c r="AF139" i="14"/>
  <c r="AE139" i="14"/>
  <c r="AD139" i="14"/>
  <c r="AC139" i="14"/>
  <c r="AR139" i="14" s="1"/>
  <c r="AB139" i="14"/>
  <c r="AA139" i="14"/>
  <c r="Z139" i="14"/>
  <c r="Y139" i="14"/>
  <c r="AJ138" i="14"/>
  <c r="AI138" i="14"/>
  <c r="AH138" i="14"/>
  <c r="AG138" i="14"/>
  <c r="AF138" i="14"/>
  <c r="AE138" i="14"/>
  <c r="AD138" i="14"/>
  <c r="AC138" i="14"/>
  <c r="AR138" i="14" s="1"/>
  <c r="AB138" i="14"/>
  <c r="AA138" i="14"/>
  <c r="Z138" i="14"/>
  <c r="Y138" i="14"/>
  <c r="AJ137" i="14"/>
  <c r="AI137" i="14"/>
  <c r="AH137" i="14"/>
  <c r="AG137" i="14"/>
  <c r="AF137" i="14"/>
  <c r="AE137" i="14"/>
  <c r="AB137" i="14"/>
  <c r="AA137" i="14"/>
  <c r="Z137" i="14"/>
  <c r="AJ136" i="14"/>
  <c r="AI136" i="14"/>
  <c r="AH136" i="14"/>
  <c r="AG136" i="14"/>
  <c r="AF136" i="14"/>
  <c r="AE136" i="14"/>
  <c r="AD136" i="14"/>
  <c r="AC136" i="14"/>
  <c r="AR136" i="14" s="1"/>
  <c r="AB136" i="14"/>
  <c r="AA136" i="14"/>
  <c r="Z136" i="14"/>
  <c r="Y136" i="14"/>
  <c r="AJ135" i="14"/>
  <c r="AI135" i="14"/>
  <c r="AH135" i="14"/>
  <c r="AG135" i="14"/>
  <c r="AF135" i="14"/>
  <c r="AE135" i="14"/>
  <c r="AD135" i="14"/>
  <c r="AC135" i="14"/>
  <c r="AR135" i="14" s="1"/>
  <c r="AB135" i="14"/>
  <c r="AA135" i="14"/>
  <c r="Z135" i="14"/>
  <c r="Y135" i="14"/>
  <c r="AJ134" i="14"/>
  <c r="AI134" i="14"/>
  <c r="AH134" i="14"/>
  <c r="AG134" i="14"/>
  <c r="AF134" i="14"/>
  <c r="AE134" i="14"/>
  <c r="AD134" i="14"/>
  <c r="AC134" i="14"/>
  <c r="AR134" i="14" s="1"/>
  <c r="AB134" i="14"/>
  <c r="AA134" i="14"/>
  <c r="Z134" i="14"/>
  <c r="Y134" i="14"/>
  <c r="AJ133" i="14"/>
  <c r="AI133" i="14"/>
  <c r="AH133" i="14"/>
  <c r="AG133" i="14"/>
  <c r="AF133" i="14"/>
  <c r="AE133" i="14"/>
  <c r="AD133" i="14"/>
  <c r="AC133" i="14"/>
  <c r="AR133" i="14" s="1"/>
  <c r="AB133" i="14"/>
  <c r="AA133" i="14"/>
  <c r="Z133" i="14"/>
  <c r="Y133" i="14"/>
  <c r="AJ132" i="14"/>
  <c r="AI132" i="14"/>
  <c r="AH132" i="14"/>
  <c r="AG132" i="14"/>
  <c r="AF132" i="14"/>
  <c r="AE132" i="14"/>
  <c r="AD132" i="14"/>
  <c r="AC132" i="14"/>
  <c r="AR132" i="14" s="1"/>
  <c r="AB132" i="14"/>
  <c r="AA132" i="14"/>
  <c r="Z132" i="14"/>
  <c r="Y132" i="14"/>
  <c r="AJ131" i="14"/>
  <c r="AI131" i="14"/>
  <c r="AH131" i="14"/>
  <c r="AG131" i="14"/>
  <c r="AF131" i="14"/>
  <c r="AE131" i="14"/>
  <c r="AD131" i="14"/>
  <c r="AC131" i="14"/>
  <c r="AR131" i="14" s="1"/>
  <c r="AB131" i="14"/>
  <c r="AA131" i="14"/>
  <c r="Z131" i="14"/>
  <c r="Y131" i="14"/>
  <c r="AJ130" i="14"/>
  <c r="AI130" i="14"/>
  <c r="AH130" i="14"/>
  <c r="AG130" i="14"/>
  <c r="AF130" i="14"/>
  <c r="AE130" i="14"/>
  <c r="AD130" i="14"/>
  <c r="AC130" i="14"/>
  <c r="AR130" i="14" s="1"/>
  <c r="AB130" i="14"/>
  <c r="AA130" i="14"/>
  <c r="Z130" i="14"/>
  <c r="Y130" i="14"/>
  <c r="AJ129" i="14"/>
  <c r="AI129" i="14"/>
  <c r="AH129" i="14"/>
  <c r="AG129" i="14"/>
  <c r="AF129" i="14"/>
  <c r="AE129" i="14"/>
  <c r="AD129" i="14"/>
  <c r="AC129" i="14"/>
  <c r="AR129" i="14" s="1"/>
  <c r="AB129" i="14"/>
  <c r="AA129" i="14"/>
  <c r="Z129" i="14"/>
  <c r="Y129" i="14"/>
  <c r="AJ128" i="14"/>
  <c r="AI128" i="14"/>
  <c r="AH128" i="14"/>
  <c r="AG128" i="14"/>
  <c r="AF128" i="14"/>
  <c r="AE128" i="14"/>
  <c r="AD128" i="14"/>
  <c r="AC128" i="14"/>
  <c r="AR128" i="14" s="1"/>
  <c r="AB128" i="14"/>
  <c r="AA128" i="14"/>
  <c r="Z128" i="14"/>
  <c r="Y128" i="14"/>
  <c r="AJ127" i="14"/>
  <c r="AI127" i="14"/>
  <c r="AH127" i="14"/>
  <c r="AG127" i="14"/>
  <c r="AF127" i="14"/>
  <c r="AE127" i="14"/>
  <c r="AD127" i="14"/>
  <c r="AC127" i="14"/>
  <c r="AR127" i="14" s="1"/>
  <c r="AB127" i="14"/>
  <c r="AA127" i="14"/>
  <c r="Z127" i="14"/>
  <c r="Y127" i="14"/>
  <c r="AJ126" i="14"/>
  <c r="AI126" i="14"/>
  <c r="AH126" i="14"/>
  <c r="AG126" i="14"/>
  <c r="AF126" i="14"/>
  <c r="AE126" i="14"/>
  <c r="AD126" i="14"/>
  <c r="AC126" i="14"/>
  <c r="AR126" i="14" s="1"/>
  <c r="AB126" i="14"/>
  <c r="AA126" i="14"/>
  <c r="Z126" i="14"/>
  <c r="Y126" i="14"/>
  <c r="AJ125" i="14"/>
  <c r="AI125" i="14"/>
  <c r="AH125" i="14"/>
  <c r="AG125" i="14"/>
  <c r="AF125" i="14"/>
  <c r="AE125" i="14"/>
  <c r="AD125" i="14"/>
  <c r="AC125" i="14"/>
  <c r="AR125" i="14" s="1"/>
  <c r="AB125" i="14"/>
  <c r="AA125" i="14"/>
  <c r="Z125" i="14"/>
  <c r="Y125" i="14"/>
  <c r="AJ124" i="14"/>
  <c r="AI124" i="14"/>
  <c r="AH124" i="14"/>
  <c r="AG124" i="14"/>
  <c r="AF124" i="14"/>
  <c r="AE124" i="14"/>
  <c r="AD124" i="14"/>
  <c r="AC124" i="14"/>
  <c r="AR124" i="14" s="1"/>
  <c r="AB124" i="14"/>
  <c r="AA124" i="14"/>
  <c r="Z124" i="14"/>
  <c r="Y124" i="14"/>
  <c r="AJ123" i="14"/>
  <c r="AI123" i="14"/>
  <c r="AH123" i="14"/>
  <c r="AG123" i="14"/>
  <c r="AF123" i="14"/>
  <c r="AE123" i="14"/>
  <c r="AD123" i="14"/>
  <c r="AC123" i="14"/>
  <c r="AR123" i="14" s="1"/>
  <c r="AB123" i="14"/>
  <c r="AA123" i="14"/>
  <c r="Z123" i="14"/>
  <c r="Y123" i="14"/>
  <c r="AJ122" i="14"/>
  <c r="AI122" i="14"/>
  <c r="AH122" i="14"/>
  <c r="AG122" i="14"/>
  <c r="AF122" i="14"/>
  <c r="AE122" i="14"/>
  <c r="AD122" i="14"/>
  <c r="AC122" i="14"/>
  <c r="AR122" i="14" s="1"/>
  <c r="AB122" i="14"/>
  <c r="AA122" i="14"/>
  <c r="Z122" i="14"/>
  <c r="Y122" i="14"/>
  <c r="AJ121" i="14"/>
  <c r="AI121" i="14"/>
  <c r="AH121" i="14"/>
  <c r="AG121" i="14"/>
  <c r="AF121" i="14"/>
  <c r="AE121" i="14"/>
  <c r="AD121" i="14"/>
  <c r="AC121" i="14"/>
  <c r="AR121" i="14" s="1"/>
  <c r="AB121" i="14"/>
  <c r="AA121" i="14"/>
  <c r="Z121" i="14"/>
  <c r="Y121" i="14"/>
  <c r="AJ120" i="14"/>
  <c r="AI120" i="14"/>
  <c r="AH120" i="14"/>
  <c r="AG120" i="14"/>
  <c r="AF120" i="14"/>
  <c r="AE120" i="14"/>
  <c r="AD120" i="14"/>
  <c r="AC120" i="14"/>
  <c r="AR120" i="14" s="1"/>
  <c r="AB120" i="14"/>
  <c r="AA120" i="14"/>
  <c r="Z120" i="14"/>
  <c r="Y120" i="14"/>
  <c r="AJ119" i="14"/>
  <c r="AI119" i="14"/>
  <c r="AH119" i="14"/>
  <c r="AG119" i="14"/>
  <c r="AF119" i="14"/>
  <c r="AE119" i="14"/>
  <c r="AD119" i="14"/>
  <c r="AC119" i="14"/>
  <c r="AR119" i="14" s="1"/>
  <c r="AB119" i="14"/>
  <c r="AA119" i="14"/>
  <c r="Z119" i="14"/>
  <c r="Y119" i="14"/>
  <c r="AJ118" i="14"/>
  <c r="AI118" i="14"/>
  <c r="AH118" i="14"/>
  <c r="AG118" i="14"/>
  <c r="AF118" i="14"/>
  <c r="AE118" i="14"/>
  <c r="AD118" i="14"/>
  <c r="AC118" i="14"/>
  <c r="AR118" i="14" s="1"/>
  <c r="AB118" i="14"/>
  <c r="AA118" i="14"/>
  <c r="Z118" i="14"/>
  <c r="Y118" i="14"/>
  <c r="AJ117" i="14"/>
  <c r="AI117" i="14"/>
  <c r="AH117" i="14"/>
  <c r="AG117" i="14"/>
  <c r="AF117" i="14"/>
  <c r="AE117" i="14"/>
  <c r="AD117" i="14"/>
  <c r="AC117" i="14"/>
  <c r="AR117" i="14" s="1"/>
  <c r="AB117" i="14"/>
  <c r="AA117" i="14"/>
  <c r="Z117" i="14"/>
  <c r="Y117" i="14"/>
  <c r="AJ116" i="14"/>
  <c r="AI116" i="14"/>
  <c r="AH116" i="14"/>
  <c r="AG116" i="14"/>
  <c r="AF116" i="14"/>
  <c r="AE116" i="14"/>
  <c r="AD116" i="14"/>
  <c r="AC116" i="14"/>
  <c r="AR116" i="14" s="1"/>
  <c r="AB116" i="14"/>
  <c r="AA116" i="14"/>
  <c r="Z116" i="14"/>
  <c r="Y116" i="14"/>
  <c r="AJ115" i="14"/>
  <c r="AI115" i="14"/>
  <c r="AH115" i="14"/>
  <c r="AG115" i="14"/>
  <c r="AF115" i="14"/>
  <c r="AE115" i="14"/>
  <c r="AD115" i="14"/>
  <c r="AC115" i="14"/>
  <c r="AR115" i="14" s="1"/>
  <c r="AB115" i="14"/>
  <c r="AA115" i="14"/>
  <c r="Z115" i="14"/>
  <c r="Y115" i="14"/>
  <c r="AJ114" i="14"/>
  <c r="AI114" i="14"/>
  <c r="AH114" i="14"/>
  <c r="AG114" i="14"/>
  <c r="AF114" i="14"/>
  <c r="AE114" i="14"/>
  <c r="AD114" i="14"/>
  <c r="AC114" i="14"/>
  <c r="AR114" i="14" s="1"/>
  <c r="AB114" i="14"/>
  <c r="AA114" i="14"/>
  <c r="Z114" i="14"/>
  <c r="Y114" i="14"/>
  <c r="AJ113" i="14"/>
  <c r="AI113" i="14"/>
  <c r="AH113" i="14"/>
  <c r="AG113" i="14"/>
  <c r="AF113" i="14"/>
  <c r="AE113" i="14"/>
  <c r="AD113" i="14"/>
  <c r="AC113" i="14"/>
  <c r="AR113" i="14" s="1"/>
  <c r="AB113" i="14"/>
  <c r="AA113" i="14"/>
  <c r="Z113" i="14"/>
  <c r="Y113" i="14"/>
  <c r="AJ112" i="14"/>
  <c r="AI112" i="14"/>
  <c r="AH112" i="14"/>
  <c r="AG112" i="14"/>
  <c r="AF112" i="14"/>
  <c r="AE112" i="14"/>
  <c r="AD112" i="14"/>
  <c r="AC112" i="14"/>
  <c r="AR112" i="14" s="1"/>
  <c r="AB112" i="14"/>
  <c r="AA112" i="14"/>
  <c r="Z112" i="14"/>
  <c r="Y112" i="14"/>
  <c r="AJ111" i="14"/>
  <c r="AI111" i="14"/>
  <c r="AH111" i="14"/>
  <c r="AG111" i="14"/>
  <c r="AF111" i="14"/>
  <c r="AE111" i="14"/>
  <c r="AD111" i="14"/>
  <c r="AC111" i="14"/>
  <c r="AR111" i="14" s="1"/>
  <c r="AB111" i="14"/>
  <c r="AA111" i="14"/>
  <c r="Z111" i="14"/>
  <c r="Y111" i="14"/>
  <c r="AJ110" i="14"/>
  <c r="AI110" i="14"/>
  <c r="AH110" i="14"/>
  <c r="AG110" i="14"/>
  <c r="AF110" i="14"/>
  <c r="AE110" i="14"/>
  <c r="AD110" i="14"/>
  <c r="AC110" i="14"/>
  <c r="AR110" i="14" s="1"/>
  <c r="AB110" i="14"/>
  <c r="AA110" i="14"/>
  <c r="Z110" i="14"/>
  <c r="Y110" i="14"/>
  <c r="AJ109" i="14"/>
  <c r="AI109" i="14"/>
  <c r="AH109" i="14"/>
  <c r="AG109" i="14"/>
  <c r="AF109" i="14"/>
  <c r="AE109" i="14"/>
  <c r="AD109" i="14"/>
  <c r="AC109" i="14"/>
  <c r="AR109" i="14" s="1"/>
  <c r="AB109" i="14"/>
  <c r="AA109" i="14"/>
  <c r="Z109" i="14"/>
  <c r="Y109" i="14"/>
  <c r="AJ108" i="14"/>
  <c r="AI108" i="14"/>
  <c r="AH108" i="14"/>
  <c r="AG108" i="14"/>
  <c r="AF108" i="14"/>
  <c r="AE108" i="14"/>
  <c r="AD108" i="14"/>
  <c r="AC108" i="14"/>
  <c r="AR108" i="14" s="1"/>
  <c r="AB108" i="14"/>
  <c r="AA108" i="14"/>
  <c r="Z108" i="14"/>
  <c r="Y108" i="14"/>
  <c r="AJ107" i="14"/>
  <c r="AI107" i="14"/>
  <c r="AH107" i="14"/>
  <c r="AG107" i="14"/>
  <c r="AF107" i="14"/>
  <c r="AE107" i="14"/>
  <c r="AD107" i="14"/>
  <c r="AC107" i="14"/>
  <c r="AR107" i="14" s="1"/>
  <c r="AB107" i="14"/>
  <c r="AA107" i="14"/>
  <c r="Z107" i="14"/>
  <c r="Y107" i="14"/>
  <c r="AR106" i="14"/>
  <c r="AJ106" i="14"/>
  <c r="AI106" i="14"/>
  <c r="AH106" i="14"/>
  <c r="AG106" i="14"/>
  <c r="AF106" i="14"/>
  <c r="AE106" i="14"/>
  <c r="AD106" i="14"/>
  <c r="AC106" i="14"/>
  <c r="AB106" i="14"/>
  <c r="AA106" i="14"/>
  <c r="Z106" i="14"/>
  <c r="Y106" i="14"/>
  <c r="AJ105" i="14"/>
  <c r="AI105" i="14"/>
  <c r="AH105" i="14"/>
  <c r="AG105" i="14"/>
  <c r="AF105" i="14"/>
  <c r="AE105" i="14"/>
  <c r="AD105" i="14"/>
  <c r="AC105" i="14"/>
  <c r="AR105" i="14" s="1"/>
  <c r="AB105" i="14"/>
  <c r="AA105" i="14"/>
  <c r="Z105" i="14"/>
  <c r="Y105" i="14"/>
  <c r="AJ104" i="14"/>
  <c r="AI104" i="14"/>
  <c r="AH104" i="14"/>
  <c r="AG104" i="14"/>
  <c r="AF104" i="14"/>
  <c r="AE104" i="14"/>
  <c r="AD104" i="14"/>
  <c r="AC104" i="14"/>
  <c r="AR104" i="14" s="1"/>
  <c r="AB104" i="14"/>
  <c r="AA104" i="14"/>
  <c r="Z104" i="14"/>
  <c r="Y104" i="14"/>
  <c r="AJ103" i="14"/>
  <c r="AI103" i="14"/>
  <c r="AH103" i="14"/>
  <c r="AG103" i="14"/>
  <c r="AF103" i="14"/>
  <c r="AE103" i="14"/>
  <c r="AD103" i="14"/>
  <c r="AC103" i="14"/>
  <c r="AR103" i="14" s="1"/>
  <c r="AB103" i="14"/>
  <c r="AA103" i="14"/>
  <c r="Z103" i="14"/>
  <c r="Y103" i="14"/>
  <c r="AR102" i="14"/>
  <c r="AJ102" i="14"/>
  <c r="AI102" i="14"/>
  <c r="AH102" i="14"/>
  <c r="AG102" i="14"/>
  <c r="AF102" i="14"/>
  <c r="AE102" i="14"/>
  <c r="AD102" i="14"/>
  <c r="AC102" i="14"/>
  <c r="AB102" i="14"/>
  <c r="AA102" i="14"/>
  <c r="Z102" i="14"/>
  <c r="Y102" i="14"/>
  <c r="AJ101" i="14"/>
  <c r="AI101" i="14"/>
  <c r="AH101" i="14"/>
  <c r="AG101" i="14"/>
  <c r="AF101" i="14"/>
  <c r="AE101" i="14"/>
  <c r="AD101" i="14"/>
  <c r="AC101" i="14"/>
  <c r="AR101" i="14" s="1"/>
  <c r="AB101" i="14"/>
  <c r="AA101" i="14"/>
  <c r="Z101" i="14"/>
  <c r="Y101" i="14"/>
  <c r="AJ100" i="14"/>
  <c r="AI100" i="14"/>
  <c r="AH100" i="14"/>
  <c r="AG100" i="14"/>
  <c r="AF100" i="14"/>
  <c r="AE100" i="14"/>
  <c r="AD100" i="14"/>
  <c r="AC100" i="14"/>
  <c r="AR100" i="14" s="1"/>
  <c r="AB100" i="14"/>
  <c r="AA100" i="14"/>
  <c r="Z100" i="14"/>
  <c r="Y100" i="14"/>
  <c r="AJ99" i="14"/>
  <c r="AI99" i="14"/>
  <c r="AH99" i="14"/>
  <c r="AG99" i="14"/>
  <c r="AF99" i="14"/>
  <c r="AE99" i="14"/>
  <c r="AD99" i="14"/>
  <c r="AC99" i="14"/>
  <c r="AR99" i="14" s="1"/>
  <c r="AB99" i="14"/>
  <c r="AA99" i="14"/>
  <c r="Z99" i="14"/>
  <c r="Y99" i="14"/>
  <c r="AJ98" i="14"/>
  <c r="AI98" i="14"/>
  <c r="AH98" i="14"/>
  <c r="AG98" i="14"/>
  <c r="AF98" i="14"/>
  <c r="AE98" i="14"/>
  <c r="AD98" i="14"/>
  <c r="AC98" i="14"/>
  <c r="AR98" i="14" s="1"/>
  <c r="AB98" i="14"/>
  <c r="AA98" i="14"/>
  <c r="Z98" i="14"/>
  <c r="Y98" i="14"/>
  <c r="AJ97" i="14"/>
  <c r="AI97" i="14"/>
  <c r="AH97" i="14"/>
  <c r="AG97" i="14"/>
  <c r="AF97" i="14"/>
  <c r="AE97" i="14"/>
  <c r="AD97" i="14"/>
  <c r="AC97" i="14"/>
  <c r="AR97" i="14" s="1"/>
  <c r="AB97" i="14"/>
  <c r="AA97" i="14"/>
  <c r="Z97" i="14"/>
  <c r="Y97" i="14"/>
  <c r="AJ96" i="14"/>
  <c r="AI96" i="14"/>
  <c r="AH96" i="14"/>
  <c r="AG96" i="14"/>
  <c r="AF96" i="14"/>
  <c r="AE96" i="14"/>
  <c r="AD96" i="14"/>
  <c r="AC96" i="14"/>
  <c r="AR96" i="14" s="1"/>
  <c r="AB96" i="14"/>
  <c r="AA96" i="14"/>
  <c r="Z96" i="14"/>
  <c r="Y96" i="14"/>
  <c r="AJ95" i="14"/>
  <c r="AI95" i="14"/>
  <c r="AH95" i="14"/>
  <c r="AG95" i="14"/>
  <c r="AF95" i="14"/>
  <c r="AE95" i="14"/>
  <c r="AD95" i="14"/>
  <c r="AC95" i="14"/>
  <c r="AR95" i="14" s="1"/>
  <c r="AB95" i="14"/>
  <c r="AA95" i="14"/>
  <c r="Z95" i="14"/>
  <c r="Y95" i="14"/>
  <c r="AJ94" i="14"/>
  <c r="AI94" i="14"/>
  <c r="AH94" i="14"/>
  <c r="AG94" i="14"/>
  <c r="AF94" i="14"/>
  <c r="AE94" i="14"/>
  <c r="AD94" i="14"/>
  <c r="AC94" i="14"/>
  <c r="AR94" i="14" s="1"/>
  <c r="AB94" i="14"/>
  <c r="AA94" i="14"/>
  <c r="Z94" i="14"/>
  <c r="Y94" i="14"/>
  <c r="AJ93" i="14"/>
  <c r="AI93" i="14"/>
  <c r="AH93" i="14"/>
  <c r="AG93" i="14"/>
  <c r="AF93" i="14"/>
  <c r="AE93" i="14"/>
  <c r="AD93" i="14"/>
  <c r="AC93" i="14"/>
  <c r="AR93" i="14" s="1"/>
  <c r="AB93" i="14"/>
  <c r="AA93" i="14"/>
  <c r="Z93" i="14"/>
  <c r="Y93" i="14"/>
  <c r="AJ92" i="14"/>
  <c r="AI92" i="14"/>
  <c r="AH92" i="14"/>
  <c r="AG92" i="14"/>
  <c r="AF92" i="14"/>
  <c r="AE92" i="14"/>
  <c r="AD92" i="14"/>
  <c r="AC92" i="14"/>
  <c r="AR92" i="14" s="1"/>
  <c r="AB92" i="14"/>
  <c r="AA92" i="14"/>
  <c r="Z92" i="14"/>
  <c r="Y92" i="14"/>
  <c r="AR91" i="14"/>
  <c r="AJ91" i="14"/>
  <c r="AI91" i="14"/>
  <c r="AH91" i="14"/>
  <c r="AG91" i="14"/>
  <c r="AF91" i="14"/>
  <c r="AE91" i="14"/>
  <c r="AD91" i="14"/>
  <c r="AC91" i="14"/>
  <c r="AB91" i="14"/>
  <c r="AA91" i="14"/>
  <c r="Z91" i="14"/>
  <c r="Y91" i="14"/>
  <c r="AJ90" i="14"/>
  <c r="AI90" i="14"/>
  <c r="AH90" i="14"/>
  <c r="AG90" i="14"/>
  <c r="AF90" i="14"/>
  <c r="AE90" i="14"/>
  <c r="AD90" i="14"/>
  <c r="AC90" i="14"/>
  <c r="AR90" i="14" s="1"/>
  <c r="AB90" i="14"/>
  <c r="AA90" i="14"/>
  <c r="Z90" i="14"/>
  <c r="Y90" i="14"/>
  <c r="AJ89" i="14"/>
  <c r="AI89" i="14"/>
  <c r="AH89" i="14"/>
  <c r="AG89" i="14"/>
  <c r="AF89" i="14"/>
  <c r="AE89" i="14"/>
  <c r="AD89" i="14"/>
  <c r="AC89" i="14"/>
  <c r="AR89" i="14" s="1"/>
  <c r="AB89" i="14"/>
  <c r="AA89" i="14"/>
  <c r="Z89" i="14"/>
  <c r="Y89" i="14"/>
  <c r="AJ88" i="14"/>
  <c r="AI88" i="14"/>
  <c r="AH88" i="14"/>
  <c r="AG88" i="14"/>
  <c r="AF88" i="14"/>
  <c r="AE88" i="14"/>
  <c r="AD88" i="14"/>
  <c r="AC88" i="14"/>
  <c r="AR88" i="14" s="1"/>
  <c r="AB88" i="14"/>
  <c r="AA88" i="14"/>
  <c r="Z88" i="14"/>
  <c r="Y88" i="14"/>
  <c r="AJ87" i="14"/>
  <c r="AH87" i="14"/>
  <c r="AG87" i="14"/>
  <c r="AF87" i="14"/>
  <c r="AE87" i="14"/>
  <c r="AB87" i="14"/>
  <c r="AA87" i="14"/>
  <c r="Z87" i="14"/>
  <c r="AJ86" i="14"/>
  <c r="AI86" i="14"/>
  <c r="AH86" i="14"/>
  <c r="AG86" i="14"/>
  <c r="AF86" i="14"/>
  <c r="AE86" i="14"/>
  <c r="AD86" i="14"/>
  <c r="AC86" i="14"/>
  <c r="AR86" i="14" s="1"/>
  <c r="AB86" i="14"/>
  <c r="AA86" i="14"/>
  <c r="Z86" i="14"/>
  <c r="Y86" i="14"/>
  <c r="AJ85" i="14"/>
  <c r="AI85" i="14"/>
  <c r="AH85" i="14"/>
  <c r="AG85" i="14"/>
  <c r="AF85" i="14"/>
  <c r="AE85" i="14"/>
  <c r="AD85" i="14"/>
  <c r="AC85" i="14"/>
  <c r="AR85" i="14" s="1"/>
  <c r="AB85" i="14"/>
  <c r="AA85" i="14"/>
  <c r="Z85" i="14"/>
  <c r="Y85" i="14"/>
  <c r="AJ84" i="14"/>
  <c r="AI84" i="14"/>
  <c r="AH84" i="14"/>
  <c r="AG84" i="14"/>
  <c r="AF84" i="14"/>
  <c r="AE84" i="14"/>
  <c r="AD84" i="14"/>
  <c r="AC84" i="14"/>
  <c r="AR84" i="14" s="1"/>
  <c r="AB84" i="14"/>
  <c r="AA84" i="14"/>
  <c r="Z84" i="14"/>
  <c r="Y84" i="14"/>
  <c r="AJ83" i="14"/>
  <c r="AI83" i="14"/>
  <c r="AH83" i="14"/>
  <c r="AG83" i="14"/>
  <c r="AF83" i="14"/>
  <c r="AE83" i="14"/>
  <c r="AD83" i="14"/>
  <c r="AC83" i="14"/>
  <c r="AR83" i="14" s="1"/>
  <c r="AB83" i="14"/>
  <c r="AA83" i="14"/>
  <c r="Z83" i="14"/>
  <c r="Y83" i="14"/>
  <c r="AJ82" i="14"/>
  <c r="AI82" i="14"/>
  <c r="AH82" i="14"/>
  <c r="AG82" i="14"/>
  <c r="AF82" i="14"/>
  <c r="AE82" i="14"/>
  <c r="AD82" i="14"/>
  <c r="AC82" i="14"/>
  <c r="AR82" i="14" s="1"/>
  <c r="AB82" i="14"/>
  <c r="AA82" i="14"/>
  <c r="Z82" i="14"/>
  <c r="Y82" i="14"/>
  <c r="AJ81" i="14"/>
  <c r="AI81" i="14"/>
  <c r="AH81" i="14"/>
  <c r="AG81" i="14"/>
  <c r="AF81" i="14"/>
  <c r="AE81" i="14"/>
  <c r="AD81" i="14"/>
  <c r="AC81" i="14"/>
  <c r="AR81" i="14" s="1"/>
  <c r="AB81" i="14"/>
  <c r="AA81" i="14"/>
  <c r="Z81" i="14"/>
  <c r="Y81" i="14"/>
  <c r="AJ80" i="14"/>
  <c r="AI80" i="14"/>
  <c r="AH80" i="14"/>
  <c r="AG80" i="14"/>
  <c r="AF80" i="14"/>
  <c r="AE80" i="14"/>
  <c r="AD80" i="14"/>
  <c r="AC80" i="14"/>
  <c r="AR80" i="14" s="1"/>
  <c r="AB80" i="14"/>
  <c r="AA80" i="14"/>
  <c r="Z80" i="14"/>
  <c r="Y80" i="14"/>
  <c r="AJ79" i="14"/>
  <c r="AI79" i="14"/>
  <c r="AH79" i="14"/>
  <c r="AG79" i="14"/>
  <c r="AF79" i="14"/>
  <c r="AE79" i="14"/>
  <c r="AD79" i="14"/>
  <c r="AC79" i="14"/>
  <c r="AR79" i="14" s="1"/>
  <c r="AB79" i="14"/>
  <c r="AA79" i="14"/>
  <c r="Z79" i="14"/>
  <c r="Y79" i="14"/>
  <c r="AJ78" i="14"/>
  <c r="AI78" i="14"/>
  <c r="AH78" i="14"/>
  <c r="AG78" i="14"/>
  <c r="AF78" i="14"/>
  <c r="AE78" i="14"/>
  <c r="AD78" i="14"/>
  <c r="AC78" i="14"/>
  <c r="AR78" i="14" s="1"/>
  <c r="AB78" i="14"/>
  <c r="AA78" i="14"/>
  <c r="Z78" i="14"/>
  <c r="Y78" i="14"/>
  <c r="AJ77" i="14"/>
  <c r="AI77" i="14"/>
  <c r="AH77" i="14"/>
  <c r="AG77" i="14"/>
  <c r="AF77" i="14"/>
  <c r="AE77" i="14"/>
  <c r="AD77" i="14"/>
  <c r="AC77" i="14"/>
  <c r="AR77" i="14" s="1"/>
  <c r="AB77" i="14"/>
  <c r="AA77" i="14"/>
  <c r="Z77" i="14"/>
  <c r="Y77" i="14"/>
  <c r="AJ76" i="14"/>
  <c r="AI76" i="14"/>
  <c r="AH76" i="14"/>
  <c r="AG76" i="14"/>
  <c r="AF76" i="14"/>
  <c r="AE76" i="14"/>
  <c r="AD76" i="14"/>
  <c r="AC76" i="14"/>
  <c r="AR76" i="14" s="1"/>
  <c r="AB76" i="14"/>
  <c r="AA76" i="14"/>
  <c r="Z76" i="14"/>
  <c r="Y76" i="14"/>
  <c r="AJ75" i="14"/>
  <c r="AI75" i="14"/>
  <c r="AH75" i="14"/>
  <c r="AG75" i="14"/>
  <c r="AF75" i="14"/>
  <c r="AE75" i="14"/>
  <c r="AD75" i="14"/>
  <c r="AC75" i="14"/>
  <c r="AR75" i="14" s="1"/>
  <c r="AB75" i="14"/>
  <c r="AA75" i="14"/>
  <c r="Z75" i="14"/>
  <c r="Y75" i="14"/>
  <c r="AJ74" i="14"/>
  <c r="AI74" i="14"/>
  <c r="AH74" i="14"/>
  <c r="AG74" i="14"/>
  <c r="AF74" i="14"/>
  <c r="AE74" i="14"/>
  <c r="AD74" i="14"/>
  <c r="AC74" i="14"/>
  <c r="AR74" i="14" s="1"/>
  <c r="AB74" i="14"/>
  <c r="AA74" i="14"/>
  <c r="Z74" i="14"/>
  <c r="Y74" i="14"/>
  <c r="AJ73" i="14"/>
  <c r="AI73" i="14"/>
  <c r="AH73" i="14"/>
  <c r="AG73" i="14"/>
  <c r="AF73" i="14"/>
  <c r="AE73" i="14"/>
  <c r="AD73" i="14"/>
  <c r="AC73" i="14"/>
  <c r="AR73" i="14" s="1"/>
  <c r="AB73" i="14"/>
  <c r="AA73" i="14"/>
  <c r="Z73" i="14"/>
  <c r="Y73" i="14"/>
  <c r="AJ72" i="14"/>
  <c r="AI72" i="14"/>
  <c r="AH72" i="14"/>
  <c r="AG72" i="14"/>
  <c r="AF72" i="14"/>
  <c r="AE72" i="14"/>
  <c r="AD72" i="14"/>
  <c r="AC72" i="14"/>
  <c r="AR72" i="14" s="1"/>
  <c r="AB72" i="14"/>
  <c r="AA72" i="14"/>
  <c r="Z72" i="14"/>
  <c r="Y72" i="14"/>
  <c r="AJ71" i="14"/>
  <c r="AI71" i="14"/>
  <c r="AH71" i="14"/>
  <c r="AG71" i="14"/>
  <c r="AF71" i="14"/>
  <c r="AE71" i="14"/>
  <c r="AD71" i="14"/>
  <c r="AC71" i="14"/>
  <c r="AR71" i="14" s="1"/>
  <c r="AB71" i="14"/>
  <c r="AA71" i="14"/>
  <c r="Z71" i="14"/>
  <c r="Y71" i="14"/>
  <c r="AJ70" i="14"/>
  <c r="AI70" i="14"/>
  <c r="AH70" i="14"/>
  <c r="AG70" i="14"/>
  <c r="AF70" i="14"/>
  <c r="AE70" i="14"/>
  <c r="AD70" i="14"/>
  <c r="AC70" i="14"/>
  <c r="AR70" i="14" s="1"/>
  <c r="AB70" i="14"/>
  <c r="AA70" i="14"/>
  <c r="Z70" i="14"/>
  <c r="Y70" i="14"/>
  <c r="AJ69" i="14"/>
  <c r="AI69" i="14"/>
  <c r="AH69" i="14"/>
  <c r="AG69" i="14"/>
  <c r="AF69" i="14"/>
  <c r="AE69" i="14"/>
  <c r="AD69" i="14"/>
  <c r="AC69" i="14"/>
  <c r="AR69" i="14" s="1"/>
  <c r="AB69" i="14"/>
  <c r="AA69" i="14"/>
  <c r="Z69" i="14"/>
  <c r="Y69" i="14"/>
  <c r="AJ68" i="14"/>
  <c r="AI68" i="14"/>
  <c r="AH68" i="14"/>
  <c r="AG68" i="14"/>
  <c r="AF68" i="14"/>
  <c r="AE68" i="14"/>
  <c r="AD68" i="14"/>
  <c r="AC68" i="14"/>
  <c r="AR68" i="14" s="1"/>
  <c r="AB68" i="14"/>
  <c r="AA68" i="14"/>
  <c r="Z68" i="14"/>
  <c r="Y68" i="14"/>
  <c r="AJ67" i="14"/>
  <c r="AI67" i="14"/>
  <c r="AH67" i="14"/>
  <c r="AG67" i="14"/>
  <c r="AF67" i="14"/>
  <c r="AE67" i="14"/>
  <c r="AD67" i="14"/>
  <c r="AC67" i="14"/>
  <c r="AR67" i="14" s="1"/>
  <c r="AB67" i="14"/>
  <c r="AA67" i="14"/>
  <c r="Z67" i="14"/>
  <c r="Y67" i="14"/>
  <c r="AJ66" i="14"/>
  <c r="AI66" i="14"/>
  <c r="AH66" i="14"/>
  <c r="AG66" i="14"/>
  <c r="AF66" i="14"/>
  <c r="AE66" i="14"/>
  <c r="AD66" i="14"/>
  <c r="AC66" i="14"/>
  <c r="AR66" i="14" s="1"/>
  <c r="AB66" i="14"/>
  <c r="AA66" i="14"/>
  <c r="Z66" i="14"/>
  <c r="Y66" i="14"/>
  <c r="AJ65" i="14"/>
  <c r="AI65" i="14"/>
  <c r="AH65" i="14"/>
  <c r="AG65" i="14"/>
  <c r="AF65" i="14"/>
  <c r="AE65" i="14"/>
  <c r="AD65" i="14"/>
  <c r="AC65" i="14"/>
  <c r="AR65" i="14" s="1"/>
  <c r="AB65" i="14"/>
  <c r="AA65" i="14"/>
  <c r="Z65" i="14"/>
  <c r="Y65" i="14"/>
  <c r="AJ64" i="14"/>
  <c r="AI64" i="14"/>
  <c r="AH64" i="14"/>
  <c r="AG64" i="14"/>
  <c r="AF64" i="14"/>
  <c r="AE64" i="14"/>
  <c r="AD64" i="14"/>
  <c r="AC64" i="14"/>
  <c r="AR64" i="14" s="1"/>
  <c r="AB64" i="14"/>
  <c r="AA64" i="14"/>
  <c r="Z64" i="14"/>
  <c r="Y64" i="14"/>
  <c r="AR63" i="14"/>
  <c r="AJ63" i="14"/>
  <c r="AI63" i="14"/>
  <c r="AH63" i="14"/>
  <c r="AG63" i="14"/>
  <c r="AF63" i="14"/>
  <c r="AE63" i="14"/>
  <c r="AD63" i="14"/>
  <c r="AC63" i="14"/>
  <c r="AB63" i="14"/>
  <c r="AA63" i="14"/>
  <c r="Z63" i="14"/>
  <c r="Y63" i="14"/>
  <c r="AJ62" i="14"/>
  <c r="AI62" i="14"/>
  <c r="AH62" i="14"/>
  <c r="AG62" i="14"/>
  <c r="AF62" i="14"/>
  <c r="AE62" i="14"/>
  <c r="AD62" i="14"/>
  <c r="AC62" i="14"/>
  <c r="AR62" i="14" s="1"/>
  <c r="AB62" i="14"/>
  <c r="AA62" i="14"/>
  <c r="Z62" i="14"/>
  <c r="Y62" i="14"/>
  <c r="AJ61" i="14"/>
  <c r="AI61" i="14"/>
  <c r="AH61" i="14"/>
  <c r="AG61" i="14"/>
  <c r="AF61" i="14"/>
  <c r="AE61" i="14"/>
  <c r="AD61" i="14"/>
  <c r="AC61" i="14"/>
  <c r="AR61" i="14" s="1"/>
  <c r="AB61" i="14"/>
  <c r="AA61" i="14"/>
  <c r="Z61" i="14"/>
  <c r="Y61" i="14"/>
  <c r="AJ60" i="14"/>
  <c r="AI60" i="14"/>
  <c r="AH60" i="14"/>
  <c r="AG60" i="14"/>
  <c r="AF60" i="14"/>
  <c r="AE60" i="14"/>
  <c r="AD60" i="14"/>
  <c r="AC60" i="14"/>
  <c r="AR60" i="14" s="1"/>
  <c r="AB60" i="14"/>
  <c r="AA60" i="14"/>
  <c r="Z60" i="14"/>
  <c r="Y60" i="14"/>
  <c r="AJ59" i="14"/>
  <c r="AI59" i="14"/>
  <c r="AH59" i="14"/>
  <c r="AG59" i="14"/>
  <c r="AF59" i="14"/>
  <c r="AE59" i="14"/>
  <c r="AD59" i="14"/>
  <c r="AC59" i="14"/>
  <c r="AR59" i="14" s="1"/>
  <c r="AB59" i="14"/>
  <c r="AA59" i="14"/>
  <c r="Z59" i="14"/>
  <c r="Y59" i="14"/>
  <c r="AJ58" i="14"/>
  <c r="AI58" i="14"/>
  <c r="AH58" i="14"/>
  <c r="AG58" i="14"/>
  <c r="AF58" i="14"/>
  <c r="AE58" i="14"/>
  <c r="AD58" i="14"/>
  <c r="AC58" i="14"/>
  <c r="AR58" i="14" s="1"/>
  <c r="AB58" i="14"/>
  <c r="AA58" i="14"/>
  <c r="Z58" i="14"/>
  <c r="Y58" i="14"/>
  <c r="AJ57" i="14"/>
  <c r="AI57" i="14"/>
  <c r="AH57" i="14"/>
  <c r="AG57" i="14"/>
  <c r="AF57" i="14"/>
  <c r="AE57" i="14"/>
  <c r="AD57" i="14"/>
  <c r="AC57" i="14"/>
  <c r="AR57" i="14" s="1"/>
  <c r="AB57" i="14"/>
  <c r="AA57" i="14"/>
  <c r="Z57" i="14"/>
  <c r="Y57" i="14"/>
  <c r="AJ56" i="14"/>
  <c r="AI56" i="14"/>
  <c r="AH56" i="14"/>
  <c r="AG56" i="14"/>
  <c r="AF56" i="14"/>
  <c r="AE56" i="14"/>
  <c r="AD56" i="14"/>
  <c r="AC56" i="14"/>
  <c r="AR56" i="14" s="1"/>
  <c r="AB56" i="14"/>
  <c r="AA56" i="14"/>
  <c r="Z56" i="14"/>
  <c r="Y56" i="14"/>
  <c r="AJ55" i="14"/>
  <c r="AI55" i="14"/>
  <c r="AH55" i="14"/>
  <c r="AG55" i="14"/>
  <c r="AF55" i="14"/>
  <c r="AE55" i="14"/>
  <c r="AD55" i="14"/>
  <c r="AC55" i="14"/>
  <c r="AR55" i="14" s="1"/>
  <c r="AB55" i="14"/>
  <c r="AA55" i="14"/>
  <c r="Z55" i="14"/>
  <c r="Y55" i="14"/>
  <c r="AJ54" i="14"/>
  <c r="AI54" i="14"/>
  <c r="AH54" i="14"/>
  <c r="AG54" i="14"/>
  <c r="AF54" i="14"/>
  <c r="AE54" i="14"/>
  <c r="AD54" i="14"/>
  <c r="AC54" i="14"/>
  <c r="AR54" i="14" s="1"/>
  <c r="AB54" i="14"/>
  <c r="AA54" i="14"/>
  <c r="Z54" i="14"/>
  <c r="Y54" i="14"/>
  <c r="AJ53" i="14"/>
  <c r="AI53" i="14"/>
  <c r="AH53" i="14"/>
  <c r="AG53" i="14"/>
  <c r="AF53" i="14"/>
  <c r="AE53" i="14"/>
  <c r="AD53" i="14"/>
  <c r="AC53" i="14"/>
  <c r="AR53" i="14" s="1"/>
  <c r="AB53" i="14"/>
  <c r="AA53" i="14"/>
  <c r="Z53" i="14"/>
  <c r="Y53" i="14"/>
  <c r="AJ52" i="14"/>
  <c r="AI52" i="14"/>
  <c r="AH52" i="14"/>
  <c r="AG52" i="14"/>
  <c r="AF52" i="14"/>
  <c r="AE52" i="14"/>
  <c r="AD52" i="14"/>
  <c r="AC52" i="14"/>
  <c r="AR52" i="14" s="1"/>
  <c r="AB52" i="14"/>
  <c r="AA52" i="14"/>
  <c r="Z52" i="14"/>
  <c r="Y52" i="14"/>
  <c r="AJ51" i="14"/>
  <c r="AI51" i="14"/>
  <c r="AH51" i="14"/>
  <c r="AG51" i="14"/>
  <c r="AF51" i="14"/>
  <c r="AE51" i="14"/>
  <c r="AD51" i="14"/>
  <c r="AC51" i="14"/>
  <c r="AR51" i="14" s="1"/>
  <c r="AB51" i="14"/>
  <c r="AA51" i="14"/>
  <c r="Z51" i="14"/>
  <c r="Y51" i="14"/>
  <c r="AJ50" i="14"/>
  <c r="AI50" i="14"/>
  <c r="AH50" i="14"/>
  <c r="AG50" i="14"/>
  <c r="AF50" i="14"/>
  <c r="AE50" i="14"/>
  <c r="AD50" i="14"/>
  <c r="AC50" i="14"/>
  <c r="AR50" i="14" s="1"/>
  <c r="AB50" i="14"/>
  <c r="AA50" i="14"/>
  <c r="Z50" i="14"/>
  <c r="Y50" i="14"/>
  <c r="AJ49" i="14"/>
  <c r="AI49" i="14"/>
  <c r="AH49" i="14"/>
  <c r="AG49" i="14"/>
  <c r="AF49" i="14"/>
  <c r="AE49" i="14"/>
  <c r="AD49" i="14"/>
  <c r="AC49" i="14"/>
  <c r="AR49" i="14" s="1"/>
  <c r="AB49" i="14"/>
  <c r="AA49" i="14"/>
  <c r="Z49" i="14"/>
  <c r="Y49" i="14"/>
  <c r="AJ48" i="14"/>
  <c r="AI48" i="14"/>
  <c r="AH48" i="14"/>
  <c r="AG48" i="14"/>
  <c r="AF48" i="14"/>
  <c r="AE48" i="14"/>
  <c r="AD48" i="14"/>
  <c r="AC48" i="14"/>
  <c r="AR48" i="14" s="1"/>
  <c r="AB48" i="14"/>
  <c r="AA48" i="14"/>
  <c r="Z48" i="14"/>
  <c r="Y48" i="14"/>
  <c r="AJ47" i="14"/>
  <c r="AI47" i="14"/>
  <c r="AH47" i="14"/>
  <c r="AG47" i="14"/>
  <c r="AF47" i="14"/>
  <c r="AE47" i="14"/>
  <c r="AD47" i="14"/>
  <c r="AC47" i="14"/>
  <c r="AR47" i="14" s="1"/>
  <c r="AB47" i="14"/>
  <c r="AA47" i="14"/>
  <c r="Z47" i="14"/>
  <c r="Y47" i="14"/>
  <c r="AJ46" i="14"/>
  <c r="AI46" i="14"/>
  <c r="AH46" i="14"/>
  <c r="AG46" i="14"/>
  <c r="AF46" i="14"/>
  <c r="AE46" i="14"/>
  <c r="AD46" i="14"/>
  <c r="AC46" i="14"/>
  <c r="AR46" i="14" s="1"/>
  <c r="AB46" i="14"/>
  <c r="AA46" i="14"/>
  <c r="Z46" i="14"/>
  <c r="Y46" i="14"/>
  <c r="AJ45" i="14"/>
  <c r="AI45" i="14"/>
  <c r="AH45" i="14"/>
  <c r="AG45" i="14"/>
  <c r="AF45" i="14"/>
  <c r="AE45" i="14"/>
  <c r="AD45" i="14"/>
  <c r="AC45" i="14"/>
  <c r="AR45" i="14" s="1"/>
  <c r="AB45" i="14"/>
  <c r="AA45" i="14"/>
  <c r="Z45" i="14"/>
  <c r="Y45" i="14"/>
  <c r="AJ44" i="14"/>
  <c r="AI44" i="14"/>
  <c r="AH44" i="14"/>
  <c r="AG44" i="14"/>
  <c r="AF44" i="14"/>
  <c r="AE44" i="14"/>
  <c r="AD44" i="14"/>
  <c r="AC44" i="14"/>
  <c r="AR44" i="14" s="1"/>
  <c r="AB44" i="14"/>
  <c r="AA44" i="14"/>
  <c r="Z44" i="14"/>
  <c r="Y44" i="14"/>
  <c r="AJ43" i="14"/>
  <c r="AI43" i="14"/>
  <c r="AH43" i="14"/>
  <c r="AG43" i="14"/>
  <c r="AF43" i="14"/>
  <c r="AE43" i="14"/>
  <c r="AD43" i="14"/>
  <c r="AC43" i="14"/>
  <c r="AR43" i="14" s="1"/>
  <c r="AB43" i="14"/>
  <c r="AA43" i="14"/>
  <c r="Z43" i="14"/>
  <c r="Y43" i="14"/>
  <c r="AJ42" i="14"/>
  <c r="AI42" i="14"/>
  <c r="AH42" i="14"/>
  <c r="AG42" i="14"/>
  <c r="AF42" i="14"/>
  <c r="AE42" i="14"/>
  <c r="AD42" i="14"/>
  <c r="AC42" i="14"/>
  <c r="AR42" i="14" s="1"/>
  <c r="AB42" i="14"/>
  <c r="AA42" i="14"/>
  <c r="Z42" i="14"/>
  <c r="Y42" i="14"/>
  <c r="AJ41" i="14"/>
  <c r="AI41" i="14"/>
  <c r="AH41" i="14"/>
  <c r="AG41" i="14"/>
  <c r="AF41" i="14"/>
  <c r="AE41" i="14"/>
  <c r="AD41" i="14"/>
  <c r="AC41" i="14"/>
  <c r="AR41" i="14" s="1"/>
  <c r="AB41" i="14"/>
  <c r="AA41" i="14"/>
  <c r="Z41" i="14"/>
  <c r="Y41" i="14"/>
  <c r="AJ40" i="14"/>
  <c r="AI40" i="14"/>
  <c r="AH40" i="14"/>
  <c r="AG40" i="14"/>
  <c r="AF40" i="14"/>
  <c r="AE40" i="14"/>
  <c r="AD40" i="14"/>
  <c r="AC40" i="14"/>
  <c r="AR40" i="14" s="1"/>
  <c r="AB40" i="14"/>
  <c r="AA40" i="14"/>
  <c r="Z40" i="14"/>
  <c r="Y40" i="14"/>
  <c r="AJ39" i="14"/>
  <c r="AI39" i="14"/>
  <c r="AH39" i="14"/>
  <c r="AG39" i="14"/>
  <c r="AF39" i="14"/>
  <c r="AE39" i="14"/>
  <c r="AD39" i="14"/>
  <c r="AC39" i="14"/>
  <c r="AR39" i="14" s="1"/>
  <c r="AB39" i="14"/>
  <c r="AA39" i="14"/>
  <c r="Z39" i="14"/>
  <c r="Y39" i="14"/>
  <c r="AJ38" i="14"/>
  <c r="AI38" i="14"/>
  <c r="AH38" i="14"/>
  <c r="AG38" i="14"/>
  <c r="AF38" i="14"/>
  <c r="AE38" i="14"/>
  <c r="AD38" i="14"/>
  <c r="AC38" i="14"/>
  <c r="AR38" i="14" s="1"/>
  <c r="AB38" i="14"/>
  <c r="AA38" i="14"/>
  <c r="Z38" i="14"/>
  <c r="Y38" i="14"/>
  <c r="AJ37" i="14"/>
  <c r="AI37" i="14"/>
  <c r="AH37" i="14"/>
  <c r="AG37" i="14"/>
  <c r="AF37" i="14"/>
  <c r="AE37" i="14"/>
  <c r="AB37" i="14"/>
  <c r="AA37" i="14"/>
  <c r="Z37" i="14"/>
  <c r="AJ36" i="14"/>
  <c r="AI36" i="14"/>
  <c r="AH36" i="14"/>
  <c r="AG36" i="14"/>
  <c r="AF36" i="14"/>
  <c r="AE36" i="14"/>
  <c r="AB36" i="14"/>
  <c r="AA36" i="14"/>
  <c r="Z36" i="14"/>
  <c r="AJ35" i="14"/>
  <c r="AI35" i="14"/>
  <c r="AH35" i="14"/>
  <c r="AG35" i="14"/>
  <c r="AF35" i="14"/>
  <c r="AE35" i="14"/>
  <c r="AB35" i="14"/>
  <c r="AA35" i="14"/>
  <c r="Z35" i="14"/>
  <c r="AJ34" i="14"/>
  <c r="AI34" i="14"/>
  <c r="AH34" i="14"/>
  <c r="AG34" i="14"/>
  <c r="AF34" i="14"/>
  <c r="AE34" i="14"/>
  <c r="AB34" i="14"/>
  <c r="AA34" i="14"/>
  <c r="Z34" i="14"/>
  <c r="AJ33" i="14"/>
  <c r="AI33" i="14"/>
  <c r="AH33" i="14"/>
  <c r="AG33" i="14"/>
  <c r="AF33" i="14"/>
  <c r="AE33" i="14"/>
  <c r="AB33" i="14"/>
  <c r="AA33" i="14"/>
  <c r="Z33" i="14"/>
  <c r="AJ32" i="14"/>
  <c r="AI32" i="14"/>
  <c r="AH32" i="14"/>
  <c r="AG32" i="14"/>
  <c r="AF32" i="14"/>
  <c r="AE32" i="14"/>
  <c r="AB32" i="14"/>
  <c r="AA32" i="14"/>
  <c r="Z32" i="14"/>
  <c r="AJ31" i="14"/>
  <c r="AI31" i="14"/>
  <c r="AH31" i="14"/>
  <c r="AG31" i="14"/>
  <c r="AF31" i="14"/>
  <c r="AE31" i="14"/>
  <c r="AB31" i="14"/>
  <c r="AA31" i="14"/>
  <c r="Z31" i="14"/>
  <c r="AJ30" i="14"/>
  <c r="AI30" i="14"/>
  <c r="AH30" i="14"/>
  <c r="AG30" i="14"/>
  <c r="AF30" i="14"/>
  <c r="AE30" i="14"/>
  <c r="AB30" i="14"/>
  <c r="AA30" i="14"/>
  <c r="Z30" i="14"/>
  <c r="A47" i="12"/>
  <c r="G19" i="12"/>
  <c r="F19" i="12"/>
  <c r="E19" i="12"/>
  <c r="C19" i="12"/>
  <c r="B19" i="12"/>
  <c r="G18" i="12"/>
  <c r="F18" i="12"/>
  <c r="E18" i="12"/>
  <c r="C18" i="12"/>
  <c r="B18" i="12"/>
  <c r="G17" i="12"/>
  <c r="F17" i="12"/>
  <c r="E17" i="12"/>
  <c r="C17" i="12"/>
  <c r="B17" i="12"/>
  <c r="G16" i="12"/>
  <c r="F16" i="12"/>
  <c r="E16" i="12"/>
  <c r="C16" i="12"/>
  <c r="B16" i="12"/>
  <c r="D16" i="12" s="1"/>
  <c r="G15" i="12"/>
  <c r="F15" i="12"/>
  <c r="E15" i="12"/>
  <c r="C15" i="12"/>
  <c r="B15" i="12"/>
  <c r="D15" i="12" s="1"/>
  <c r="G14" i="12"/>
  <c r="F14" i="12"/>
  <c r="E14" i="12"/>
  <c r="C14" i="12"/>
  <c r="B14" i="12"/>
  <c r="D14" i="12" s="1"/>
  <c r="G13" i="12"/>
  <c r="F13" i="12"/>
  <c r="E13" i="12"/>
  <c r="C13" i="12"/>
  <c r="B13" i="12"/>
  <c r="D13" i="12" s="1"/>
  <c r="A9" i="12"/>
  <c r="H58" i="11"/>
  <c r="G58" i="11"/>
  <c r="AK386" i="14" s="1"/>
  <c r="F58" i="11"/>
  <c r="H57" i="11"/>
  <c r="G57" i="11"/>
  <c r="AK385" i="14" s="1"/>
  <c r="F57" i="11"/>
  <c r="H56" i="11"/>
  <c r="G56" i="11"/>
  <c r="AK384" i="14" s="1"/>
  <c r="F56" i="11"/>
  <c r="H55" i="11"/>
  <c r="G55" i="11"/>
  <c r="AK383" i="14" s="1"/>
  <c r="F55" i="11"/>
  <c r="H54" i="11"/>
  <c r="G54" i="11"/>
  <c r="AK382" i="14" s="1"/>
  <c r="F54" i="11"/>
  <c r="H53" i="11"/>
  <c r="G53" i="11"/>
  <c r="AK381" i="14" s="1"/>
  <c r="F53" i="11"/>
  <c r="H52" i="11"/>
  <c r="G52" i="11"/>
  <c r="AK380" i="14" s="1"/>
  <c r="F52" i="11"/>
  <c r="H51" i="11"/>
  <c r="G51" i="11"/>
  <c r="AK379" i="14" s="1"/>
  <c r="F51" i="11"/>
  <c r="H50" i="11"/>
  <c r="G50" i="11"/>
  <c r="AK378" i="14" s="1"/>
  <c r="F50" i="11"/>
  <c r="H49" i="11"/>
  <c r="G49" i="11"/>
  <c r="AK377" i="14" s="1"/>
  <c r="F49" i="11"/>
  <c r="H48" i="11"/>
  <c r="G48" i="11"/>
  <c r="AK376" i="14" s="1"/>
  <c r="F48" i="11"/>
  <c r="H47" i="11"/>
  <c r="G47" i="11"/>
  <c r="AK375" i="14" s="1"/>
  <c r="F47" i="11"/>
  <c r="H46" i="11"/>
  <c r="G46" i="11"/>
  <c r="AK374" i="14" s="1"/>
  <c r="F46" i="11"/>
  <c r="H45" i="11"/>
  <c r="G45" i="11"/>
  <c r="AK373" i="14" s="1"/>
  <c r="F45" i="11"/>
  <c r="H44" i="11"/>
  <c r="G44" i="11"/>
  <c r="AK372" i="14" s="1"/>
  <c r="F44" i="11"/>
  <c r="H43" i="11"/>
  <c r="G43" i="11"/>
  <c r="AK371" i="14" s="1"/>
  <c r="F43" i="11"/>
  <c r="H42" i="11"/>
  <c r="G42" i="11"/>
  <c r="AK370" i="14" s="1"/>
  <c r="F42" i="11"/>
  <c r="H41" i="11"/>
  <c r="G41" i="11"/>
  <c r="AK369" i="14" s="1"/>
  <c r="F41" i="11"/>
  <c r="H40" i="11"/>
  <c r="G40" i="11"/>
  <c r="AK368" i="14" s="1"/>
  <c r="F40" i="11"/>
  <c r="H39" i="11"/>
  <c r="G39" i="11"/>
  <c r="AK367" i="14" s="1"/>
  <c r="F39" i="11"/>
  <c r="H38" i="11"/>
  <c r="G38" i="11"/>
  <c r="AK366" i="14" s="1"/>
  <c r="F38" i="11"/>
  <c r="H37" i="11"/>
  <c r="G37" i="11"/>
  <c r="AK365" i="14" s="1"/>
  <c r="F37" i="11"/>
  <c r="H36" i="11"/>
  <c r="G36" i="11"/>
  <c r="F36" i="11"/>
  <c r="H35" i="11"/>
  <c r="G35" i="11"/>
  <c r="AK363" i="14" s="1"/>
  <c r="F35" i="11"/>
  <c r="H34" i="11"/>
  <c r="G34" i="11"/>
  <c r="AK362" i="14" s="1"/>
  <c r="F34" i="11"/>
  <c r="H33" i="11"/>
  <c r="G33" i="11"/>
  <c r="F33" i="11"/>
  <c r="H32" i="11"/>
  <c r="G32" i="11"/>
  <c r="AK360" i="14" s="1"/>
  <c r="F32" i="11"/>
  <c r="H31" i="11"/>
  <c r="G31" i="11"/>
  <c r="F31" i="11"/>
  <c r="H30" i="11"/>
  <c r="G30" i="11"/>
  <c r="AK358" i="14" s="1"/>
  <c r="F30" i="11"/>
  <c r="H29" i="11"/>
  <c r="G29" i="11"/>
  <c r="AK357" i="14" s="1"/>
  <c r="F29" i="11"/>
  <c r="H28" i="11"/>
  <c r="G28" i="11"/>
  <c r="AK356" i="14" s="1"/>
  <c r="F28" i="11"/>
  <c r="H27" i="11"/>
  <c r="G27" i="11"/>
  <c r="AK355" i="14" s="1"/>
  <c r="F27" i="11"/>
  <c r="H26" i="11"/>
  <c r="G26" i="11"/>
  <c r="AK354" i="14" s="1"/>
  <c r="F26" i="11"/>
  <c r="H25" i="11"/>
  <c r="G25" i="11"/>
  <c r="F25" i="11"/>
  <c r="H24" i="11"/>
  <c r="G24" i="11"/>
  <c r="AK352" i="14" s="1"/>
  <c r="F24" i="11"/>
  <c r="H23" i="11"/>
  <c r="G23" i="11"/>
  <c r="AK351" i="14" s="1"/>
  <c r="F23" i="11"/>
  <c r="H22" i="11"/>
  <c r="G22" i="11"/>
  <c r="AK350" i="14" s="1"/>
  <c r="F22" i="11"/>
  <c r="H21" i="11"/>
  <c r="G21" i="11"/>
  <c r="AK349" i="14" s="1"/>
  <c r="F21" i="11"/>
  <c r="H20" i="11"/>
  <c r="G20" i="11"/>
  <c r="F20" i="11"/>
  <c r="H19" i="11"/>
  <c r="G19" i="11"/>
  <c r="AK347" i="14" s="1"/>
  <c r="F19" i="11"/>
  <c r="H18" i="11"/>
  <c r="G18" i="11"/>
  <c r="AK346" i="14" s="1"/>
  <c r="F18" i="11"/>
  <c r="H17" i="11"/>
  <c r="G17" i="11"/>
  <c r="AK345" i="14" s="1"/>
  <c r="F17" i="11"/>
  <c r="H16" i="11"/>
  <c r="G16" i="11"/>
  <c r="F16" i="11"/>
  <c r="H15" i="11"/>
  <c r="G15" i="11"/>
  <c r="F15" i="11"/>
  <c r="H14" i="11"/>
  <c r="G14" i="11"/>
  <c r="AK342" i="14" s="1"/>
  <c r="F14" i="11"/>
  <c r="H13" i="11"/>
  <c r="G13" i="11"/>
  <c r="AK341" i="14" s="1"/>
  <c r="F13" i="11"/>
  <c r="H12" i="11"/>
  <c r="G12" i="11"/>
  <c r="AK340" i="14" s="1"/>
  <c r="F12" i="11"/>
  <c r="H11" i="11"/>
  <c r="G11" i="11"/>
  <c r="AK339" i="14" s="1"/>
  <c r="F11" i="11"/>
  <c r="H10" i="11"/>
  <c r="G10" i="11"/>
  <c r="AK338" i="14" s="1"/>
  <c r="F10" i="11"/>
  <c r="H9" i="11"/>
  <c r="AD337" i="14" s="1"/>
  <c r="G9" i="11"/>
  <c r="F9" i="11" s="1"/>
  <c r="Y337" i="14" s="1"/>
  <c r="K6" i="11"/>
  <c r="AH58" i="10"/>
  <c r="Q58" i="10"/>
  <c r="H58" i="10"/>
  <c r="G58" i="10"/>
  <c r="F58" i="10"/>
  <c r="AH57" i="10"/>
  <c r="Q57" i="10"/>
  <c r="H57" i="10"/>
  <c r="G57" i="10"/>
  <c r="AK335" i="14" s="1"/>
  <c r="F57" i="10"/>
  <c r="AH56" i="10"/>
  <c r="Q56" i="10"/>
  <c r="H56" i="10"/>
  <c r="G56" i="10"/>
  <c r="F56" i="10"/>
  <c r="AH55" i="10"/>
  <c r="Q55" i="10"/>
  <c r="H55" i="10"/>
  <c r="G55" i="10"/>
  <c r="AK333" i="14" s="1"/>
  <c r="F55" i="10"/>
  <c r="AH54" i="10"/>
  <c r="Q54" i="10"/>
  <c r="H54" i="10"/>
  <c r="G54" i="10"/>
  <c r="AK332" i="14" s="1"/>
  <c r="F54" i="10"/>
  <c r="AH53" i="10"/>
  <c r="Q53" i="10"/>
  <c r="H53" i="10"/>
  <c r="G53" i="10"/>
  <c r="F53" i="10"/>
  <c r="AH52" i="10"/>
  <c r="Q52" i="10"/>
  <c r="H52" i="10"/>
  <c r="G52" i="10"/>
  <c r="AK330" i="14" s="1"/>
  <c r="F52" i="10"/>
  <c r="AH51" i="10"/>
  <c r="Q51" i="10"/>
  <c r="H51" i="10"/>
  <c r="G51" i="10"/>
  <c r="AK329" i="14" s="1"/>
  <c r="F51" i="10"/>
  <c r="AH50" i="10"/>
  <c r="Q50" i="10"/>
  <c r="H50" i="10"/>
  <c r="G50" i="10"/>
  <c r="AK328" i="14" s="1"/>
  <c r="F50" i="10"/>
  <c r="AH49" i="10"/>
  <c r="Q49" i="10"/>
  <c r="H49" i="10"/>
  <c r="G49" i="10"/>
  <c r="AK327" i="14" s="1"/>
  <c r="F49" i="10"/>
  <c r="AH48" i="10"/>
  <c r="Q48" i="10"/>
  <c r="H48" i="10"/>
  <c r="G48" i="10"/>
  <c r="F48" i="10"/>
  <c r="AH47" i="10"/>
  <c r="Q47" i="10"/>
  <c r="H47" i="10"/>
  <c r="G47" i="10"/>
  <c r="AK325" i="14" s="1"/>
  <c r="F47" i="10"/>
  <c r="AH46" i="10"/>
  <c r="Q46" i="10"/>
  <c r="H46" i="10"/>
  <c r="G46" i="10"/>
  <c r="AK324" i="14" s="1"/>
  <c r="F46" i="10"/>
  <c r="AH45" i="10"/>
  <c r="Q45" i="10"/>
  <c r="H45" i="10"/>
  <c r="G45" i="10"/>
  <c r="AK323" i="14" s="1"/>
  <c r="F45" i="10"/>
  <c r="AH44" i="10"/>
  <c r="Q44" i="10"/>
  <c r="H44" i="10"/>
  <c r="G44" i="10"/>
  <c r="F44" i="10"/>
  <c r="AH43" i="10"/>
  <c r="Q43" i="10"/>
  <c r="H43" i="10"/>
  <c r="G43" i="10"/>
  <c r="AK321" i="14" s="1"/>
  <c r="F43" i="10"/>
  <c r="AH42" i="10"/>
  <c r="Q42" i="10"/>
  <c r="H42" i="10"/>
  <c r="G42" i="10"/>
  <c r="AK320" i="14" s="1"/>
  <c r="F42" i="10"/>
  <c r="AH41" i="10"/>
  <c r="Q41" i="10"/>
  <c r="H41" i="10"/>
  <c r="G41" i="10"/>
  <c r="AK319" i="14" s="1"/>
  <c r="F41" i="10"/>
  <c r="AH40" i="10"/>
  <c r="Q40" i="10"/>
  <c r="H40" i="10"/>
  <c r="G40" i="10"/>
  <c r="F40" i="10"/>
  <c r="AH39" i="10"/>
  <c r="Q39" i="10"/>
  <c r="H39" i="10"/>
  <c r="G39" i="10"/>
  <c r="AK317" i="14" s="1"/>
  <c r="F39" i="10"/>
  <c r="AH38" i="10"/>
  <c r="Q38" i="10"/>
  <c r="H38" i="10"/>
  <c r="G38" i="10"/>
  <c r="AK316" i="14" s="1"/>
  <c r="F38" i="10"/>
  <c r="AH37" i="10"/>
  <c r="Q37" i="10"/>
  <c r="H37" i="10"/>
  <c r="G37" i="10"/>
  <c r="AK315" i="14" s="1"/>
  <c r="F37" i="10"/>
  <c r="AH36" i="10"/>
  <c r="Q36" i="10"/>
  <c r="H36" i="10"/>
  <c r="G36" i="10"/>
  <c r="AK314" i="14" s="1"/>
  <c r="F36" i="10"/>
  <c r="AH35" i="10"/>
  <c r="Q35" i="10"/>
  <c r="H35" i="10"/>
  <c r="G35" i="10"/>
  <c r="F35" i="10"/>
  <c r="AH34" i="10"/>
  <c r="Q34" i="10"/>
  <c r="H34" i="10"/>
  <c r="G34" i="10"/>
  <c r="AK312" i="14" s="1"/>
  <c r="F34" i="10"/>
  <c r="AH33" i="10"/>
  <c r="Q33" i="10"/>
  <c r="H33" i="10"/>
  <c r="G33" i="10"/>
  <c r="AK311" i="14" s="1"/>
  <c r="F33" i="10"/>
  <c r="AH32" i="10"/>
  <c r="Q32" i="10"/>
  <c r="H32" i="10"/>
  <c r="G32" i="10"/>
  <c r="AK310" i="14" s="1"/>
  <c r="F32" i="10"/>
  <c r="AH31" i="10"/>
  <c r="Q31" i="10"/>
  <c r="H31" i="10"/>
  <c r="G31" i="10"/>
  <c r="AK309" i="14" s="1"/>
  <c r="F31" i="10"/>
  <c r="AH30" i="10"/>
  <c r="Q30" i="10"/>
  <c r="H30" i="10"/>
  <c r="G30" i="10"/>
  <c r="AK308" i="14" s="1"/>
  <c r="F30" i="10"/>
  <c r="AH29" i="10"/>
  <c r="Q29" i="10"/>
  <c r="H29" i="10"/>
  <c r="G29" i="10"/>
  <c r="AK307" i="14" s="1"/>
  <c r="F29" i="10"/>
  <c r="AH28" i="10"/>
  <c r="Q28" i="10"/>
  <c r="H28" i="10"/>
  <c r="G28" i="10"/>
  <c r="AK306" i="14" s="1"/>
  <c r="F28" i="10"/>
  <c r="AH27" i="10"/>
  <c r="Q27" i="10"/>
  <c r="H27" i="10"/>
  <c r="G27" i="10"/>
  <c r="AK305" i="14" s="1"/>
  <c r="F27" i="10"/>
  <c r="AH26" i="10"/>
  <c r="Q26" i="10"/>
  <c r="H26" i="10"/>
  <c r="G26" i="10"/>
  <c r="F26" i="10"/>
  <c r="AH25" i="10"/>
  <c r="Q25" i="10"/>
  <c r="H25" i="10"/>
  <c r="G25" i="10"/>
  <c r="AK303" i="14" s="1"/>
  <c r="F25" i="10"/>
  <c r="AH24" i="10"/>
  <c r="Q24" i="10"/>
  <c r="H24" i="10"/>
  <c r="G24" i="10"/>
  <c r="F24" i="10"/>
  <c r="AH23" i="10"/>
  <c r="Q23" i="10"/>
  <c r="H23" i="10"/>
  <c r="G23" i="10"/>
  <c r="AK301" i="14" s="1"/>
  <c r="F23" i="10"/>
  <c r="AH22" i="10"/>
  <c r="Q22" i="10"/>
  <c r="H22" i="10"/>
  <c r="G22" i="10"/>
  <c r="AK300" i="14" s="1"/>
  <c r="F22" i="10"/>
  <c r="AH21" i="10"/>
  <c r="Q21" i="10"/>
  <c r="H21" i="10"/>
  <c r="G21" i="10"/>
  <c r="AK299" i="14" s="1"/>
  <c r="F21" i="10"/>
  <c r="AH20" i="10"/>
  <c r="Q20" i="10"/>
  <c r="H20" i="10"/>
  <c r="G20" i="10"/>
  <c r="AK298" i="14" s="1"/>
  <c r="F20" i="10"/>
  <c r="AH19" i="10"/>
  <c r="Q19" i="10"/>
  <c r="H19" i="10"/>
  <c r="G19" i="10"/>
  <c r="AK297" i="14" s="1"/>
  <c r="F19" i="10"/>
  <c r="AH18" i="10"/>
  <c r="Q18" i="10"/>
  <c r="H18" i="10"/>
  <c r="G18" i="10"/>
  <c r="AK296" i="14" s="1"/>
  <c r="F18" i="10"/>
  <c r="AH17" i="10"/>
  <c r="Q17" i="10"/>
  <c r="H17" i="10"/>
  <c r="G17" i="10"/>
  <c r="AK295" i="14" s="1"/>
  <c r="F17" i="10"/>
  <c r="AH16" i="10"/>
  <c r="Q16" i="10"/>
  <c r="H16" i="10"/>
  <c r="G16" i="10"/>
  <c r="AK294" i="14" s="1"/>
  <c r="F16" i="10"/>
  <c r="AH15" i="10"/>
  <c r="Q15" i="10"/>
  <c r="H15" i="10"/>
  <c r="G15" i="10"/>
  <c r="AK293" i="14" s="1"/>
  <c r="F15" i="10"/>
  <c r="AH14" i="10"/>
  <c r="Q14" i="10"/>
  <c r="H14" i="10"/>
  <c r="G14" i="10"/>
  <c r="AK292" i="14" s="1"/>
  <c r="F14" i="10"/>
  <c r="AH13" i="10"/>
  <c r="Q13" i="10"/>
  <c r="H13" i="10"/>
  <c r="G13" i="10"/>
  <c r="AK291" i="14" s="1"/>
  <c r="F13" i="10"/>
  <c r="AH12" i="10"/>
  <c r="Q12" i="10"/>
  <c r="H12" i="10"/>
  <c r="G12" i="10"/>
  <c r="AK290" i="14" s="1"/>
  <c r="F12" i="10"/>
  <c r="AH11" i="10"/>
  <c r="Q11" i="10"/>
  <c r="H11" i="10"/>
  <c r="G11" i="10"/>
  <c r="AK289" i="14" s="1"/>
  <c r="F11" i="10"/>
  <c r="AH10" i="10"/>
  <c r="Q10" i="10"/>
  <c r="H10" i="10"/>
  <c r="G10" i="10"/>
  <c r="AK288" i="14" s="1"/>
  <c r="F10" i="10"/>
  <c r="AH9" i="10"/>
  <c r="G9" i="10" s="1"/>
  <c r="Q9" i="10"/>
  <c r="H9" i="10"/>
  <c r="AD287" i="14" s="1"/>
  <c r="K6" i="10"/>
  <c r="X58" i="9"/>
  <c r="G58" i="9" s="1"/>
  <c r="AK286" i="14" s="1"/>
  <c r="W58" i="9"/>
  <c r="V58" i="9"/>
  <c r="H58" i="9"/>
  <c r="F58" i="9"/>
  <c r="X57" i="9"/>
  <c r="G57" i="9" s="1"/>
  <c r="AK285" i="14" s="1"/>
  <c r="W57" i="9"/>
  <c r="V57" i="9"/>
  <c r="H57" i="9"/>
  <c r="F57" i="9"/>
  <c r="X56" i="9"/>
  <c r="G56" i="9" s="1"/>
  <c r="AK284" i="14" s="1"/>
  <c r="W56" i="9"/>
  <c r="V56" i="9"/>
  <c r="H56" i="9"/>
  <c r="F56" i="9"/>
  <c r="X55" i="9"/>
  <c r="G55" i="9" s="1"/>
  <c r="W55" i="9"/>
  <c r="V55" i="9"/>
  <c r="H55" i="9"/>
  <c r="F55" i="9"/>
  <c r="X54" i="9"/>
  <c r="G54" i="9" s="1"/>
  <c r="AK282" i="14" s="1"/>
  <c r="W54" i="9"/>
  <c r="V54" i="9"/>
  <c r="H54" i="9"/>
  <c r="F54" i="9"/>
  <c r="X53" i="9"/>
  <c r="G53" i="9" s="1"/>
  <c r="AK281" i="14" s="1"/>
  <c r="W53" i="9"/>
  <c r="V53" i="9"/>
  <c r="H53" i="9"/>
  <c r="F53" i="9"/>
  <c r="X52" i="9"/>
  <c r="G52" i="9" s="1"/>
  <c r="AK280" i="14" s="1"/>
  <c r="W52" i="9"/>
  <c r="V52" i="9"/>
  <c r="H52" i="9"/>
  <c r="F52" i="9"/>
  <c r="X51" i="9"/>
  <c r="G51" i="9" s="1"/>
  <c r="AK279" i="14" s="1"/>
  <c r="W51" i="9"/>
  <c r="V51" i="9"/>
  <c r="H51" i="9"/>
  <c r="F51" i="9"/>
  <c r="X50" i="9"/>
  <c r="G50" i="9" s="1"/>
  <c r="AK278" i="14" s="1"/>
  <c r="W50" i="9"/>
  <c r="V50" i="9"/>
  <c r="H50" i="9"/>
  <c r="F50" i="9"/>
  <c r="X49" i="9"/>
  <c r="G49" i="9" s="1"/>
  <c r="AK277" i="14" s="1"/>
  <c r="W49" i="9"/>
  <c r="V49" i="9"/>
  <c r="H49" i="9"/>
  <c r="F49" i="9"/>
  <c r="X48" i="9"/>
  <c r="G48" i="9" s="1"/>
  <c r="AK276" i="14" s="1"/>
  <c r="W48" i="9"/>
  <c r="V48" i="9"/>
  <c r="H48" i="9"/>
  <c r="F48" i="9"/>
  <c r="X47" i="9"/>
  <c r="G47" i="9" s="1"/>
  <c r="AK275" i="14" s="1"/>
  <c r="W47" i="9"/>
  <c r="V47" i="9"/>
  <c r="H47" i="9"/>
  <c r="F47" i="9"/>
  <c r="X46" i="9"/>
  <c r="G46" i="9" s="1"/>
  <c r="AK274" i="14" s="1"/>
  <c r="W46" i="9"/>
  <c r="V46" i="9"/>
  <c r="H46" i="9"/>
  <c r="F46" i="9"/>
  <c r="X45" i="9"/>
  <c r="G45" i="9" s="1"/>
  <c r="AK273" i="14" s="1"/>
  <c r="W45" i="9"/>
  <c r="V45" i="9"/>
  <c r="H45" i="9"/>
  <c r="F45" i="9"/>
  <c r="X44" i="9"/>
  <c r="G44" i="9" s="1"/>
  <c r="AK272" i="14" s="1"/>
  <c r="W44" i="9"/>
  <c r="V44" i="9"/>
  <c r="H44" i="9"/>
  <c r="F44" i="9"/>
  <c r="X43" i="9"/>
  <c r="G43" i="9" s="1"/>
  <c r="AK271" i="14" s="1"/>
  <c r="W43" i="9"/>
  <c r="V43" i="9"/>
  <c r="H43" i="9"/>
  <c r="F43" i="9"/>
  <c r="X42" i="9"/>
  <c r="G42" i="9" s="1"/>
  <c r="AK270" i="14" s="1"/>
  <c r="W42" i="9"/>
  <c r="V42" i="9"/>
  <c r="H42" i="9"/>
  <c r="F42" i="9"/>
  <c r="X41" i="9"/>
  <c r="G41" i="9" s="1"/>
  <c r="AK269" i="14" s="1"/>
  <c r="W41" i="9"/>
  <c r="V41" i="9"/>
  <c r="H41" i="9"/>
  <c r="F41" i="9"/>
  <c r="X40" i="9"/>
  <c r="G40" i="9" s="1"/>
  <c r="AK268" i="14" s="1"/>
  <c r="W40" i="9"/>
  <c r="V40" i="9"/>
  <c r="H40" i="9"/>
  <c r="F40" i="9"/>
  <c r="X39" i="9"/>
  <c r="G39" i="9" s="1"/>
  <c r="AK267" i="14" s="1"/>
  <c r="W39" i="9"/>
  <c r="V39" i="9"/>
  <c r="H39" i="9"/>
  <c r="F39" i="9"/>
  <c r="X38" i="9"/>
  <c r="G38" i="9" s="1"/>
  <c r="AK266" i="14" s="1"/>
  <c r="W38" i="9"/>
  <c r="V38" i="9"/>
  <c r="H38" i="9"/>
  <c r="F38" i="9"/>
  <c r="X37" i="9"/>
  <c r="G37" i="9" s="1"/>
  <c r="AK265" i="14" s="1"/>
  <c r="W37" i="9"/>
  <c r="V37" i="9"/>
  <c r="H37" i="9"/>
  <c r="F37" i="9"/>
  <c r="X36" i="9"/>
  <c r="G36" i="9" s="1"/>
  <c r="AK264" i="14" s="1"/>
  <c r="W36" i="9"/>
  <c r="V36" i="9"/>
  <c r="H36" i="9"/>
  <c r="F36" i="9"/>
  <c r="X35" i="9"/>
  <c r="G35" i="9" s="1"/>
  <c r="AK263" i="14" s="1"/>
  <c r="W35" i="9"/>
  <c r="V35" i="9"/>
  <c r="H35" i="9"/>
  <c r="F35" i="9"/>
  <c r="X34" i="9"/>
  <c r="G34" i="9" s="1"/>
  <c r="W34" i="9"/>
  <c r="V34" i="9"/>
  <c r="H34" i="9"/>
  <c r="F34" i="9"/>
  <c r="X33" i="9"/>
  <c r="W33" i="9"/>
  <c r="V33" i="9"/>
  <c r="H33" i="9"/>
  <c r="G33" i="9"/>
  <c r="F33" i="9"/>
  <c r="X32" i="9"/>
  <c r="G32" i="9" s="1"/>
  <c r="AK260" i="14" s="1"/>
  <c r="W32" i="9"/>
  <c r="V32" i="9"/>
  <c r="H32" i="9"/>
  <c r="F32" i="9"/>
  <c r="X31" i="9"/>
  <c r="G31" i="9" s="1"/>
  <c r="AK259" i="14" s="1"/>
  <c r="W31" i="9"/>
  <c r="V31" i="9"/>
  <c r="H31" i="9"/>
  <c r="F31" i="9"/>
  <c r="X30" i="9"/>
  <c r="G30" i="9" s="1"/>
  <c r="W30" i="9"/>
  <c r="V30" i="9"/>
  <c r="H30" i="9"/>
  <c r="F30" i="9"/>
  <c r="X29" i="9"/>
  <c r="W29" i="9"/>
  <c r="V29" i="9"/>
  <c r="H29" i="9"/>
  <c r="G29" i="9"/>
  <c r="AK257" i="14" s="1"/>
  <c r="F29" i="9"/>
  <c r="X28" i="9"/>
  <c r="G28" i="9" s="1"/>
  <c r="W28" i="9"/>
  <c r="V28" i="9"/>
  <c r="H28" i="9"/>
  <c r="F28" i="9"/>
  <c r="X27" i="9"/>
  <c r="G27" i="9" s="1"/>
  <c r="AK255" i="14" s="1"/>
  <c r="W27" i="9"/>
  <c r="V27" i="9"/>
  <c r="H27" i="9"/>
  <c r="F27" i="9"/>
  <c r="X26" i="9"/>
  <c r="W26" i="9"/>
  <c r="V26" i="9"/>
  <c r="H26" i="9"/>
  <c r="G26" i="9"/>
  <c r="AK254" i="14" s="1"/>
  <c r="F26" i="9"/>
  <c r="X25" i="9"/>
  <c r="W25" i="9"/>
  <c r="V25" i="9"/>
  <c r="H25" i="9"/>
  <c r="G25" i="9"/>
  <c r="AK253" i="14" s="1"/>
  <c r="F25" i="9"/>
  <c r="X24" i="9"/>
  <c r="G24" i="9" s="1"/>
  <c r="W24" i="9"/>
  <c r="V24" i="9"/>
  <c r="H24" i="9"/>
  <c r="F24" i="9"/>
  <c r="X23" i="9"/>
  <c r="G23" i="9" s="1"/>
  <c r="AK251" i="14" s="1"/>
  <c r="W23" i="9"/>
  <c r="V23" i="9"/>
  <c r="H23" i="9"/>
  <c r="F23" i="9"/>
  <c r="X22" i="9"/>
  <c r="W22" i="9"/>
  <c r="V22" i="9"/>
  <c r="H22" i="9"/>
  <c r="G22" i="9"/>
  <c r="AK250" i="14" s="1"/>
  <c r="F22" i="9"/>
  <c r="X21" i="9"/>
  <c r="G21" i="9" s="1"/>
  <c r="W21" i="9"/>
  <c r="V21" i="9"/>
  <c r="H21" i="9"/>
  <c r="F21" i="9"/>
  <c r="X20" i="9"/>
  <c r="V20" i="9" s="1"/>
  <c r="W20" i="9"/>
  <c r="X19" i="9"/>
  <c r="V19" i="9" s="1"/>
  <c r="W19" i="9"/>
  <c r="X18" i="9"/>
  <c r="V18" i="9" s="1"/>
  <c r="W18" i="9"/>
  <c r="X17" i="9"/>
  <c r="V17" i="9" s="1"/>
  <c r="W17" i="9"/>
  <c r="X16" i="9"/>
  <c r="V16" i="9" s="1"/>
  <c r="W16" i="9"/>
  <c r="X15" i="9"/>
  <c r="V15" i="9" s="1"/>
  <c r="W15" i="9"/>
  <c r="X14" i="9"/>
  <c r="V14" i="9" s="1"/>
  <c r="W14" i="9"/>
  <c r="W13" i="9"/>
  <c r="W12" i="9"/>
  <c r="X11" i="9"/>
  <c r="V11" i="9" s="1"/>
  <c r="W11" i="9"/>
  <c r="X10" i="9"/>
  <c r="V10" i="9" s="1"/>
  <c r="W10" i="9"/>
  <c r="X9" i="9"/>
  <c r="V9" i="9" s="1"/>
  <c r="W9" i="9"/>
  <c r="K6" i="9"/>
  <c r="AH58" i="8"/>
  <c r="H58" i="8"/>
  <c r="G58" i="8"/>
  <c r="AK236" i="14" s="1"/>
  <c r="F58" i="8"/>
  <c r="AH57" i="8"/>
  <c r="H57" i="8"/>
  <c r="G57" i="8"/>
  <c r="AK235" i="14" s="1"/>
  <c r="F57" i="8"/>
  <c r="AH56" i="8"/>
  <c r="H56" i="8"/>
  <c r="G56" i="8"/>
  <c r="AK234" i="14" s="1"/>
  <c r="F56" i="8"/>
  <c r="AH55" i="8"/>
  <c r="H55" i="8"/>
  <c r="G55" i="8"/>
  <c r="F55" i="8"/>
  <c r="AH54" i="8"/>
  <c r="H54" i="8"/>
  <c r="G54" i="8"/>
  <c r="AK232" i="14" s="1"/>
  <c r="F54" i="8"/>
  <c r="AH53" i="8"/>
  <c r="H53" i="8"/>
  <c r="G53" i="8"/>
  <c r="AK231" i="14" s="1"/>
  <c r="F53" i="8"/>
  <c r="AH52" i="8"/>
  <c r="H52" i="8"/>
  <c r="G52" i="8"/>
  <c r="AK230" i="14" s="1"/>
  <c r="F52" i="8"/>
  <c r="AH51" i="8"/>
  <c r="H51" i="8"/>
  <c r="G51" i="8"/>
  <c r="F51" i="8"/>
  <c r="AH50" i="8"/>
  <c r="H50" i="8"/>
  <c r="G50" i="8"/>
  <c r="AK228" i="14" s="1"/>
  <c r="F50" i="8"/>
  <c r="AH49" i="8"/>
  <c r="H49" i="8"/>
  <c r="G49" i="8"/>
  <c r="F49" i="8"/>
  <c r="AH48" i="8"/>
  <c r="H48" i="8"/>
  <c r="G48" i="8"/>
  <c r="AK226" i="14" s="1"/>
  <c r="F48" i="8"/>
  <c r="AH47" i="8"/>
  <c r="H47" i="8"/>
  <c r="G47" i="8"/>
  <c r="F47" i="8"/>
  <c r="AH46" i="8"/>
  <c r="H46" i="8"/>
  <c r="G46" i="8"/>
  <c r="AK224" i="14" s="1"/>
  <c r="F46" i="8"/>
  <c r="AH45" i="8"/>
  <c r="H45" i="8"/>
  <c r="G45" i="8"/>
  <c r="AK223" i="14" s="1"/>
  <c r="F45" i="8"/>
  <c r="AH44" i="8"/>
  <c r="H44" i="8"/>
  <c r="G44" i="8"/>
  <c r="F44" i="8"/>
  <c r="AH43" i="8"/>
  <c r="H43" i="8"/>
  <c r="G43" i="8"/>
  <c r="F43" i="8"/>
  <c r="AH42" i="8"/>
  <c r="H42" i="8"/>
  <c r="G42" i="8"/>
  <c r="AK220" i="14" s="1"/>
  <c r="F42" i="8"/>
  <c r="AH41" i="8"/>
  <c r="H41" i="8"/>
  <c r="G41" i="8"/>
  <c r="AK219" i="14" s="1"/>
  <c r="F41" i="8"/>
  <c r="AH40" i="8"/>
  <c r="H40" i="8"/>
  <c r="G40" i="8"/>
  <c r="AK218" i="14" s="1"/>
  <c r="F40" i="8"/>
  <c r="AH39" i="8"/>
  <c r="H39" i="8"/>
  <c r="G39" i="8"/>
  <c r="F39" i="8"/>
  <c r="AH38" i="8"/>
  <c r="H38" i="8"/>
  <c r="G38" i="8"/>
  <c r="AK216" i="14" s="1"/>
  <c r="F38" i="8"/>
  <c r="AH37" i="8"/>
  <c r="H37" i="8"/>
  <c r="G37" i="8"/>
  <c r="AK215" i="14" s="1"/>
  <c r="F37" i="8"/>
  <c r="AH36" i="8"/>
  <c r="H36" i="8"/>
  <c r="G36" i="8"/>
  <c r="AK214" i="14" s="1"/>
  <c r="F36" i="8"/>
  <c r="AH35" i="8"/>
  <c r="H35" i="8"/>
  <c r="G35" i="8"/>
  <c r="F35" i="8"/>
  <c r="AH34" i="8"/>
  <c r="H34" i="8"/>
  <c r="G34" i="8"/>
  <c r="F34" i="8"/>
  <c r="AH33" i="8"/>
  <c r="H33" i="8"/>
  <c r="G33" i="8"/>
  <c r="AK211" i="14" s="1"/>
  <c r="F33" i="8"/>
  <c r="AH32" i="8"/>
  <c r="H32" i="8"/>
  <c r="G32" i="8"/>
  <c r="AK210" i="14" s="1"/>
  <c r="F32" i="8"/>
  <c r="AH31" i="8"/>
  <c r="H31" i="8"/>
  <c r="G31" i="8"/>
  <c r="AK209" i="14" s="1"/>
  <c r="F31" i="8"/>
  <c r="AH30" i="8"/>
  <c r="H30" i="8"/>
  <c r="G30" i="8"/>
  <c r="F30" i="8"/>
  <c r="AH29" i="8"/>
  <c r="H29" i="8"/>
  <c r="G29" i="8"/>
  <c r="AK207" i="14" s="1"/>
  <c r="F29" i="8"/>
  <c r="AH28" i="8"/>
  <c r="H28" i="8"/>
  <c r="G28" i="8"/>
  <c r="AK206" i="14" s="1"/>
  <c r="F28" i="8"/>
  <c r="AH27" i="8"/>
  <c r="H27" i="8"/>
  <c r="G27" i="8"/>
  <c r="AK205" i="14" s="1"/>
  <c r="F27" i="8"/>
  <c r="AH26" i="8"/>
  <c r="H26" i="8"/>
  <c r="G26" i="8"/>
  <c r="AK204" i="14" s="1"/>
  <c r="F26" i="8"/>
  <c r="AH25" i="8"/>
  <c r="H25" i="8"/>
  <c r="G25" i="8"/>
  <c r="AK203" i="14" s="1"/>
  <c r="F25" i="8"/>
  <c r="AH24" i="8"/>
  <c r="H24" i="8"/>
  <c r="G24" i="8"/>
  <c r="AK202" i="14" s="1"/>
  <c r="F24" i="8"/>
  <c r="AH23" i="8"/>
  <c r="H23" i="8"/>
  <c r="G23" i="8"/>
  <c r="AK201" i="14" s="1"/>
  <c r="F23" i="8"/>
  <c r="AH22" i="8"/>
  <c r="H22" i="8"/>
  <c r="G22" i="8"/>
  <c r="AK200" i="14" s="1"/>
  <c r="F22" i="8"/>
  <c r="AH21" i="8"/>
  <c r="H21" i="8"/>
  <c r="G21" i="8"/>
  <c r="AK199" i="14" s="1"/>
  <c r="F21" i="8"/>
  <c r="AH20" i="8"/>
  <c r="H20" i="8"/>
  <c r="G20" i="8"/>
  <c r="AK198" i="14" s="1"/>
  <c r="F20" i="8"/>
  <c r="AH19" i="8"/>
  <c r="H19" i="8"/>
  <c r="G19" i="8"/>
  <c r="AK197" i="14" s="1"/>
  <c r="F19" i="8"/>
  <c r="AH18" i="8"/>
  <c r="H18" i="8"/>
  <c r="G18" i="8"/>
  <c r="F18" i="8"/>
  <c r="AH17" i="8"/>
  <c r="H17" i="8"/>
  <c r="G17" i="8"/>
  <c r="AK195" i="14" s="1"/>
  <c r="F17" i="8"/>
  <c r="AH16" i="8"/>
  <c r="H16" i="8"/>
  <c r="G16" i="8"/>
  <c r="AK194" i="14" s="1"/>
  <c r="F16" i="8"/>
  <c r="AH15" i="8"/>
  <c r="H15" i="8"/>
  <c r="G15" i="8"/>
  <c r="AK193" i="14" s="1"/>
  <c r="F15" i="8"/>
  <c r="AH14" i="8"/>
  <c r="H14" i="8"/>
  <c r="G14" i="8"/>
  <c r="F14" i="8"/>
  <c r="AH13" i="8"/>
  <c r="H13" i="8"/>
  <c r="G13" i="8"/>
  <c r="AK191" i="14" s="1"/>
  <c r="F13" i="8"/>
  <c r="AH12" i="8"/>
  <c r="H12" i="8"/>
  <c r="G12" i="8"/>
  <c r="F12" i="8"/>
  <c r="AH11" i="8"/>
  <c r="H11" i="8"/>
  <c r="G11" i="8"/>
  <c r="AK189" i="14" s="1"/>
  <c r="F11" i="8"/>
  <c r="AH10" i="8"/>
  <c r="H10" i="8"/>
  <c r="G10" i="8"/>
  <c r="F10" i="8"/>
  <c r="AH9" i="8"/>
  <c r="G9" i="8"/>
  <c r="K6" i="8"/>
  <c r="Z58" i="7"/>
  <c r="Y58" i="7"/>
  <c r="X58" i="7"/>
  <c r="W58" i="7"/>
  <c r="V58" i="7"/>
  <c r="H58" i="7"/>
  <c r="G58" i="7"/>
  <c r="AK186" i="14" s="1"/>
  <c r="F58" i="7"/>
  <c r="Z57" i="7"/>
  <c r="Y57" i="7"/>
  <c r="X57" i="7"/>
  <c r="W57" i="7"/>
  <c r="V57" i="7"/>
  <c r="H57" i="7"/>
  <c r="G57" i="7"/>
  <c r="F57" i="7"/>
  <c r="Z56" i="7"/>
  <c r="Y56" i="7"/>
  <c r="X56" i="7"/>
  <c r="W56" i="7"/>
  <c r="V56" i="7"/>
  <c r="H56" i="7"/>
  <c r="G56" i="7"/>
  <c r="F56" i="7"/>
  <c r="Z55" i="7"/>
  <c r="Y55" i="7"/>
  <c r="X55" i="7"/>
  <c r="W55" i="7"/>
  <c r="V55" i="7"/>
  <c r="H55" i="7"/>
  <c r="G55" i="7"/>
  <c r="AK183" i="14" s="1"/>
  <c r="F55" i="7"/>
  <c r="Z54" i="7"/>
  <c r="Y54" i="7"/>
  <c r="X54" i="7"/>
  <c r="W54" i="7"/>
  <c r="V54" i="7"/>
  <c r="H54" i="7"/>
  <c r="G54" i="7"/>
  <c r="AK182" i="14" s="1"/>
  <c r="F54" i="7"/>
  <c r="Z53" i="7"/>
  <c r="Y53" i="7"/>
  <c r="X53" i="7"/>
  <c r="W53" i="7"/>
  <c r="V53" i="7"/>
  <c r="H53" i="7"/>
  <c r="G53" i="7"/>
  <c r="F53" i="7"/>
  <c r="Z52" i="7"/>
  <c r="Y52" i="7"/>
  <c r="X52" i="7"/>
  <c r="W52" i="7"/>
  <c r="V52" i="7"/>
  <c r="H52" i="7"/>
  <c r="G52" i="7"/>
  <c r="F52" i="7"/>
  <c r="Z51" i="7"/>
  <c r="Y51" i="7"/>
  <c r="X51" i="7"/>
  <c r="W51" i="7"/>
  <c r="V51" i="7"/>
  <c r="H51" i="7"/>
  <c r="G51" i="7"/>
  <c r="AK179" i="14" s="1"/>
  <c r="F51" i="7"/>
  <c r="Z50" i="7"/>
  <c r="Y50" i="7"/>
  <c r="X50" i="7"/>
  <c r="W50" i="7"/>
  <c r="V50" i="7"/>
  <c r="H50" i="7"/>
  <c r="G50" i="7"/>
  <c r="AK178" i="14" s="1"/>
  <c r="F50" i="7"/>
  <c r="Z49" i="7"/>
  <c r="Y49" i="7"/>
  <c r="X49" i="7"/>
  <c r="W49" i="7"/>
  <c r="V49" i="7"/>
  <c r="H49" i="7"/>
  <c r="G49" i="7"/>
  <c r="F49" i="7"/>
  <c r="Z48" i="7"/>
  <c r="Y48" i="7"/>
  <c r="X48" i="7"/>
  <c r="W48" i="7"/>
  <c r="V48" i="7"/>
  <c r="H48" i="7"/>
  <c r="G48" i="7"/>
  <c r="F48" i="7"/>
  <c r="Z47" i="7"/>
  <c r="Y47" i="7"/>
  <c r="X47" i="7"/>
  <c r="W47" i="7"/>
  <c r="V47" i="7"/>
  <c r="H47" i="7"/>
  <c r="G47" i="7"/>
  <c r="AK175" i="14" s="1"/>
  <c r="F47" i="7"/>
  <c r="Z46" i="7"/>
  <c r="Y46" i="7"/>
  <c r="X46" i="7"/>
  <c r="W46" i="7"/>
  <c r="V46" i="7"/>
  <c r="H46" i="7"/>
  <c r="G46" i="7"/>
  <c r="AK174" i="14" s="1"/>
  <c r="F46" i="7"/>
  <c r="Z45" i="7"/>
  <c r="Y45" i="7"/>
  <c r="X45" i="7"/>
  <c r="W45" i="7"/>
  <c r="V45" i="7"/>
  <c r="H45" i="7"/>
  <c r="G45" i="7"/>
  <c r="F45" i="7"/>
  <c r="Z44" i="7"/>
  <c r="Y44" i="7"/>
  <c r="X44" i="7"/>
  <c r="W44" i="7"/>
  <c r="V44" i="7"/>
  <c r="H44" i="7"/>
  <c r="G44" i="7"/>
  <c r="F44" i="7"/>
  <c r="Z43" i="7"/>
  <c r="Y43" i="7"/>
  <c r="X43" i="7"/>
  <c r="W43" i="7"/>
  <c r="V43" i="7"/>
  <c r="H43" i="7"/>
  <c r="G43" i="7"/>
  <c r="AK171" i="14" s="1"/>
  <c r="F43" i="7"/>
  <c r="Z42" i="7"/>
  <c r="Y42" i="7"/>
  <c r="X42" i="7"/>
  <c r="W42" i="7"/>
  <c r="V42" i="7"/>
  <c r="H42" i="7"/>
  <c r="G42" i="7"/>
  <c r="AK170" i="14" s="1"/>
  <c r="F42" i="7"/>
  <c r="Z41" i="7"/>
  <c r="Y41" i="7"/>
  <c r="X41" i="7"/>
  <c r="W41" i="7"/>
  <c r="V41" i="7"/>
  <c r="H41" i="7"/>
  <c r="G41" i="7"/>
  <c r="F41" i="7"/>
  <c r="Z40" i="7"/>
  <c r="Y40" i="7"/>
  <c r="X40" i="7"/>
  <c r="W40" i="7"/>
  <c r="V40" i="7"/>
  <c r="H40" i="7"/>
  <c r="G40" i="7"/>
  <c r="AK168" i="14" s="1"/>
  <c r="F40" i="7"/>
  <c r="Z39" i="7"/>
  <c r="Y39" i="7"/>
  <c r="X39" i="7"/>
  <c r="W39" i="7"/>
  <c r="V39" i="7"/>
  <c r="H39" i="7"/>
  <c r="G39" i="7"/>
  <c r="AK167" i="14" s="1"/>
  <c r="F39" i="7"/>
  <c r="Z38" i="7"/>
  <c r="Y38" i="7"/>
  <c r="X38" i="7"/>
  <c r="W38" i="7"/>
  <c r="V38" i="7"/>
  <c r="H38" i="7"/>
  <c r="G38" i="7"/>
  <c r="AK166" i="14" s="1"/>
  <c r="F38" i="7"/>
  <c r="Z37" i="7"/>
  <c r="Y37" i="7"/>
  <c r="X37" i="7"/>
  <c r="W37" i="7"/>
  <c r="V37" i="7"/>
  <c r="H37" i="7"/>
  <c r="G37" i="7"/>
  <c r="F37" i="7"/>
  <c r="Z36" i="7"/>
  <c r="Y36" i="7"/>
  <c r="X36" i="7"/>
  <c r="W36" i="7"/>
  <c r="V36" i="7"/>
  <c r="H36" i="7"/>
  <c r="G36" i="7"/>
  <c r="F36" i="7"/>
  <c r="Z35" i="7"/>
  <c r="Y35" i="7"/>
  <c r="X35" i="7"/>
  <c r="W35" i="7"/>
  <c r="V35" i="7"/>
  <c r="H35" i="7"/>
  <c r="G35" i="7"/>
  <c r="AK163" i="14" s="1"/>
  <c r="F35" i="7"/>
  <c r="Z34" i="7"/>
  <c r="Y34" i="7"/>
  <c r="X34" i="7"/>
  <c r="W34" i="7"/>
  <c r="V34" i="7"/>
  <c r="H34" i="7"/>
  <c r="G34" i="7"/>
  <c r="AK162" i="14" s="1"/>
  <c r="F34" i="7"/>
  <c r="Z33" i="7"/>
  <c r="Y33" i="7"/>
  <c r="X33" i="7"/>
  <c r="W33" i="7"/>
  <c r="V33" i="7"/>
  <c r="H33" i="7"/>
  <c r="G33" i="7"/>
  <c r="F33" i="7"/>
  <c r="Z32" i="7"/>
  <c r="Y32" i="7"/>
  <c r="X32" i="7"/>
  <c r="W32" i="7"/>
  <c r="V32" i="7"/>
  <c r="H32" i="7"/>
  <c r="G32" i="7"/>
  <c r="F32" i="7"/>
  <c r="Z31" i="7"/>
  <c r="Y31" i="7"/>
  <c r="X31" i="7"/>
  <c r="W31" i="7"/>
  <c r="V31" i="7"/>
  <c r="H31" i="7"/>
  <c r="G31" i="7"/>
  <c r="AK159" i="14" s="1"/>
  <c r="F31" i="7"/>
  <c r="Z30" i="7"/>
  <c r="Y30" i="7"/>
  <c r="X30" i="7"/>
  <c r="W30" i="7"/>
  <c r="V30" i="7"/>
  <c r="H30" i="7"/>
  <c r="G30" i="7"/>
  <c r="AK158" i="14" s="1"/>
  <c r="F30" i="7"/>
  <c r="Z29" i="7"/>
  <c r="Y29" i="7"/>
  <c r="X29" i="7"/>
  <c r="W29" i="7"/>
  <c r="V29" i="7"/>
  <c r="H29" i="7"/>
  <c r="G29" i="7"/>
  <c r="AK157" i="14" s="1"/>
  <c r="F29" i="7"/>
  <c r="Z28" i="7"/>
  <c r="Y28" i="7"/>
  <c r="X28" i="7"/>
  <c r="W28" i="7"/>
  <c r="V28" i="7"/>
  <c r="H28" i="7"/>
  <c r="G28" i="7"/>
  <c r="F28" i="7"/>
  <c r="Z27" i="7"/>
  <c r="Y27" i="7"/>
  <c r="X27" i="7"/>
  <c r="W27" i="7"/>
  <c r="V27" i="7"/>
  <c r="H27" i="7"/>
  <c r="G27" i="7"/>
  <c r="AK155" i="14" s="1"/>
  <c r="F27" i="7"/>
  <c r="Z26" i="7"/>
  <c r="Y26" i="7"/>
  <c r="X26" i="7"/>
  <c r="W26" i="7"/>
  <c r="V26" i="7"/>
  <c r="H26" i="7"/>
  <c r="G26" i="7"/>
  <c r="AK154" i="14" s="1"/>
  <c r="F26" i="7"/>
  <c r="Z25" i="7"/>
  <c r="Y25" i="7"/>
  <c r="X25" i="7"/>
  <c r="W25" i="7"/>
  <c r="V25" i="7"/>
  <c r="H25" i="7"/>
  <c r="G25" i="7"/>
  <c r="AK153" i="14" s="1"/>
  <c r="F25" i="7"/>
  <c r="Z24" i="7"/>
  <c r="Y24" i="7"/>
  <c r="X24" i="7"/>
  <c r="W24" i="7"/>
  <c r="V24" i="7"/>
  <c r="H24" i="7"/>
  <c r="G24" i="7"/>
  <c r="F24" i="7"/>
  <c r="Z23" i="7"/>
  <c r="Y23" i="7"/>
  <c r="X23" i="7"/>
  <c r="W23" i="7"/>
  <c r="V23" i="7"/>
  <c r="H23" i="7"/>
  <c r="G23" i="7"/>
  <c r="AK151" i="14" s="1"/>
  <c r="F23" i="7"/>
  <c r="Z22" i="7"/>
  <c r="Y22" i="7"/>
  <c r="X22" i="7"/>
  <c r="W22" i="7"/>
  <c r="V22" i="7"/>
  <c r="H22" i="7"/>
  <c r="G22" i="7"/>
  <c r="AK150" i="14" s="1"/>
  <c r="F22" i="7"/>
  <c r="Z21" i="7"/>
  <c r="Y21" i="7"/>
  <c r="X21" i="7"/>
  <c r="W21" i="7"/>
  <c r="V21" i="7"/>
  <c r="H21" i="7"/>
  <c r="G21" i="7"/>
  <c r="AK149" i="14" s="1"/>
  <c r="F21" i="7"/>
  <c r="Z20" i="7"/>
  <c r="Y20" i="7"/>
  <c r="X20" i="7"/>
  <c r="W20" i="7"/>
  <c r="V20" i="7"/>
  <c r="H20" i="7"/>
  <c r="G20" i="7"/>
  <c r="F20" i="7"/>
  <c r="Z19" i="7"/>
  <c r="Y19" i="7"/>
  <c r="X19" i="7"/>
  <c r="W19" i="7"/>
  <c r="V19" i="7"/>
  <c r="H19" i="7"/>
  <c r="G19" i="7"/>
  <c r="AK147" i="14" s="1"/>
  <c r="F19" i="7"/>
  <c r="Z18" i="7"/>
  <c r="Y18" i="7"/>
  <c r="X18" i="7"/>
  <c r="W18" i="7"/>
  <c r="V18" i="7"/>
  <c r="H18" i="7"/>
  <c r="G18" i="7"/>
  <c r="AK146" i="14" s="1"/>
  <c r="F18" i="7"/>
  <c r="Z17" i="7"/>
  <c r="Y17" i="7"/>
  <c r="X17" i="7"/>
  <c r="W17" i="7"/>
  <c r="V17" i="7"/>
  <c r="H17" i="7"/>
  <c r="G17" i="7"/>
  <c r="AK145" i="14" s="1"/>
  <c r="F17" i="7"/>
  <c r="Z16" i="7"/>
  <c r="Y16" i="7"/>
  <c r="X16" i="7"/>
  <c r="W16" i="7"/>
  <c r="V16" i="7"/>
  <c r="H16" i="7"/>
  <c r="G16" i="7"/>
  <c r="F16" i="7"/>
  <c r="Z15" i="7"/>
  <c r="Y15" i="7"/>
  <c r="X15" i="7"/>
  <c r="W15" i="7"/>
  <c r="V15" i="7"/>
  <c r="H15" i="7"/>
  <c r="G15" i="7"/>
  <c r="AK143" i="14" s="1"/>
  <c r="F15" i="7"/>
  <c r="Z14" i="7"/>
  <c r="Y14" i="7"/>
  <c r="X14" i="7"/>
  <c r="W14" i="7"/>
  <c r="V14" i="7"/>
  <c r="H14" i="7"/>
  <c r="G14" i="7"/>
  <c r="AK142" i="14" s="1"/>
  <c r="F14" i="7"/>
  <c r="Z13" i="7"/>
  <c r="Y13" i="7"/>
  <c r="X13" i="7"/>
  <c r="W13" i="7"/>
  <c r="V13" i="7"/>
  <c r="H13" i="7"/>
  <c r="G13" i="7"/>
  <c r="AK141" i="14" s="1"/>
  <c r="F13" i="7"/>
  <c r="Z12" i="7"/>
  <c r="Y12" i="7"/>
  <c r="X12" i="7"/>
  <c r="W12" i="7"/>
  <c r="V12" i="7"/>
  <c r="H12" i="7"/>
  <c r="G12" i="7"/>
  <c r="F12" i="7"/>
  <c r="Z11" i="7"/>
  <c r="Y11" i="7"/>
  <c r="X11" i="7"/>
  <c r="W11" i="7"/>
  <c r="V11" i="7"/>
  <c r="H11" i="7"/>
  <c r="G11" i="7"/>
  <c r="AK139" i="14" s="1"/>
  <c r="F11" i="7"/>
  <c r="Z10" i="7"/>
  <c r="Y10" i="7"/>
  <c r="X10" i="7"/>
  <c r="W10" i="7"/>
  <c r="V10" i="7"/>
  <c r="H10" i="7"/>
  <c r="G10" i="7"/>
  <c r="AK138" i="14" s="1"/>
  <c r="F10" i="7"/>
  <c r="Y9" i="7"/>
  <c r="X9" i="7"/>
  <c r="W9" i="7"/>
  <c r="V9" i="7"/>
  <c r="Z9" i="7" s="1"/>
  <c r="K6" i="7"/>
  <c r="AK58" i="6"/>
  <c r="AJ58" i="6"/>
  <c r="AI58" i="6"/>
  <c r="H58" i="6"/>
  <c r="G58" i="6"/>
  <c r="F58" i="6"/>
  <c r="AK57" i="6"/>
  <c r="AJ57" i="6"/>
  <c r="AI57" i="6"/>
  <c r="AK135" i="14" s="1"/>
  <c r="H57" i="6"/>
  <c r="G57" i="6"/>
  <c r="F57" i="6"/>
  <c r="AK56" i="6"/>
  <c r="AJ56" i="6"/>
  <c r="AI56" i="6"/>
  <c r="AK134" i="14" s="1"/>
  <c r="H56" i="6"/>
  <c r="G56" i="6"/>
  <c r="F56" i="6"/>
  <c r="AK55" i="6"/>
  <c r="AJ55" i="6"/>
  <c r="AI55" i="6"/>
  <c r="AK133" i="14" s="1"/>
  <c r="H55" i="6"/>
  <c r="G55" i="6"/>
  <c r="F55" i="6"/>
  <c r="AK54" i="6"/>
  <c r="AJ54" i="6"/>
  <c r="AI54" i="6"/>
  <c r="AK132" i="14" s="1"/>
  <c r="H54" i="6"/>
  <c r="G54" i="6"/>
  <c r="F54" i="6"/>
  <c r="AK53" i="6"/>
  <c r="AJ53" i="6"/>
  <c r="AI53" i="6"/>
  <c r="AK131" i="14" s="1"/>
  <c r="H53" i="6"/>
  <c r="G53" i="6"/>
  <c r="F53" i="6"/>
  <c r="AK52" i="6"/>
  <c r="AJ52" i="6"/>
  <c r="AI52" i="6"/>
  <c r="AK130" i="14" s="1"/>
  <c r="H52" i="6"/>
  <c r="G52" i="6"/>
  <c r="F52" i="6"/>
  <c r="AK51" i="6"/>
  <c r="AJ51" i="6"/>
  <c r="AI51" i="6"/>
  <c r="AK129" i="14" s="1"/>
  <c r="H51" i="6"/>
  <c r="G51" i="6"/>
  <c r="F51" i="6"/>
  <c r="AK50" i="6"/>
  <c r="AJ50" i="6"/>
  <c r="AI50" i="6"/>
  <c r="H50" i="6"/>
  <c r="G50" i="6"/>
  <c r="F50" i="6"/>
  <c r="AK49" i="6"/>
  <c r="AJ49" i="6"/>
  <c r="AI49" i="6"/>
  <c r="AK127" i="14" s="1"/>
  <c r="H49" i="6"/>
  <c r="G49" i="6"/>
  <c r="F49" i="6"/>
  <c r="AK48" i="6"/>
  <c r="AJ48" i="6"/>
  <c r="AI48" i="6"/>
  <c r="AK126" i="14" s="1"/>
  <c r="H48" i="6"/>
  <c r="G48" i="6"/>
  <c r="F48" i="6"/>
  <c r="AK47" i="6"/>
  <c r="AJ47" i="6"/>
  <c r="AI47" i="6"/>
  <c r="AK125" i="14" s="1"/>
  <c r="H47" i="6"/>
  <c r="G47" i="6"/>
  <c r="F47" i="6"/>
  <c r="AK46" i="6"/>
  <c r="AJ46" i="6"/>
  <c r="AI46" i="6"/>
  <c r="AK124" i="14" s="1"/>
  <c r="H46" i="6"/>
  <c r="G46" i="6"/>
  <c r="F46" i="6"/>
  <c r="AK45" i="6"/>
  <c r="AJ45" i="6"/>
  <c r="AI45" i="6"/>
  <c r="AK123" i="14" s="1"/>
  <c r="H45" i="6"/>
  <c r="G45" i="6"/>
  <c r="F45" i="6"/>
  <c r="AK44" i="6"/>
  <c r="AJ44" i="6"/>
  <c r="AI44" i="6"/>
  <c r="AK122" i="14" s="1"/>
  <c r="H44" i="6"/>
  <c r="G44" i="6"/>
  <c r="F44" i="6"/>
  <c r="AK43" i="6"/>
  <c r="AJ43" i="6"/>
  <c r="AI43" i="6"/>
  <c r="AK121" i="14" s="1"/>
  <c r="H43" i="6"/>
  <c r="G43" i="6"/>
  <c r="F43" i="6"/>
  <c r="AK42" i="6"/>
  <c r="AJ42" i="6"/>
  <c r="AI42" i="6"/>
  <c r="H42" i="6"/>
  <c r="G42" i="6"/>
  <c r="F42" i="6"/>
  <c r="AK41" i="6"/>
  <c r="AJ41" i="6"/>
  <c r="AI41" i="6"/>
  <c r="AK119" i="14" s="1"/>
  <c r="H41" i="6"/>
  <c r="G41" i="6"/>
  <c r="F41" i="6"/>
  <c r="AK40" i="6"/>
  <c r="AJ40" i="6"/>
  <c r="AI40" i="6"/>
  <c r="AK118" i="14" s="1"/>
  <c r="H40" i="6"/>
  <c r="G40" i="6"/>
  <c r="F40" i="6"/>
  <c r="AK39" i="6"/>
  <c r="AJ39" i="6"/>
  <c r="AI39" i="6"/>
  <c r="AK117" i="14" s="1"/>
  <c r="H39" i="6"/>
  <c r="G39" i="6"/>
  <c r="F39" i="6"/>
  <c r="AK38" i="6"/>
  <c r="AJ38" i="6"/>
  <c r="AI38" i="6"/>
  <c r="AK116" i="14" s="1"/>
  <c r="H38" i="6"/>
  <c r="G38" i="6"/>
  <c r="F38" i="6"/>
  <c r="AK37" i="6"/>
  <c r="AJ37" i="6"/>
  <c r="AI37" i="6"/>
  <c r="AK115" i="14" s="1"/>
  <c r="H37" i="6"/>
  <c r="G37" i="6"/>
  <c r="F37" i="6"/>
  <c r="AK36" i="6"/>
  <c r="AJ36" i="6"/>
  <c r="AI36" i="6"/>
  <c r="AK114" i="14" s="1"/>
  <c r="H36" i="6"/>
  <c r="G36" i="6"/>
  <c r="F36" i="6"/>
  <c r="AK35" i="6"/>
  <c r="AJ35" i="6"/>
  <c r="AI35" i="6"/>
  <c r="AK113" i="14" s="1"/>
  <c r="H35" i="6"/>
  <c r="G35" i="6"/>
  <c r="F35" i="6"/>
  <c r="AK34" i="6"/>
  <c r="AJ34" i="6"/>
  <c r="AI34" i="6"/>
  <c r="H34" i="6"/>
  <c r="G34" i="6"/>
  <c r="F34" i="6"/>
  <c r="AK33" i="6"/>
  <c r="AJ33" i="6"/>
  <c r="AI33" i="6"/>
  <c r="AK111" i="14" s="1"/>
  <c r="H33" i="6"/>
  <c r="G33" i="6"/>
  <c r="F33" i="6"/>
  <c r="AK32" i="6"/>
  <c r="AJ32" i="6"/>
  <c r="AI32" i="6"/>
  <c r="AK110" i="14" s="1"/>
  <c r="H32" i="6"/>
  <c r="G32" i="6"/>
  <c r="F32" i="6"/>
  <c r="AK31" i="6"/>
  <c r="AJ31" i="6"/>
  <c r="AI31" i="6"/>
  <c r="AK109" i="14" s="1"/>
  <c r="H31" i="6"/>
  <c r="G31" i="6"/>
  <c r="F31" i="6"/>
  <c r="AK30" i="6"/>
  <c r="AJ30" i="6"/>
  <c r="AI30" i="6"/>
  <c r="AK108" i="14" s="1"/>
  <c r="H30" i="6"/>
  <c r="G30" i="6"/>
  <c r="F30" i="6"/>
  <c r="AK29" i="6"/>
  <c r="AJ29" i="6"/>
  <c r="AI29" i="6"/>
  <c r="AK107" i="14" s="1"/>
  <c r="H29" i="6"/>
  <c r="G29" i="6"/>
  <c r="F29" i="6"/>
  <c r="AK28" i="6"/>
  <c r="AJ28" i="6"/>
  <c r="AI28" i="6"/>
  <c r="AK106" i="14" s="1"/>
  <c r="H28" i="6"/>
  <c r="G28" i="6"/>
  <c r="F28" i="6"/>
  <c r="AK27" i="6"/>
  <c r="AJ27" i="6"/>
  <c r="AI27" i="6"/>
  <c r="AK105" i="14" s="1"/>
  <c r="H27" i="6"/>
  <c r="G27" i="6"/>
  <c r="F27" i="6"/>
  <c r="AK26" i="6"/>
  <c r="AJ26" i="6"/>
  <c r="AI26" i="6"/>
  <c r="H26" i="6"/>
  <c r="G26" i="6"/>
  <c r="F26" i="6"/>
  <c r="AK25" i="6"/>
  <c r="AJ25" i="6"/>
  <c r="AI25" i="6"/>
  <c r="H25" i="6"/>
  <c r="G25" i="6"/>
  <c r="F25" i="6"/>
  <c r="AK24" i="6"/>
  <c r="AJ24" i="6"/>
  <c r="AI24" i="6"/>
  <c r="AK102" i="14" s="1"/>
  <c r="H24" i="6"/>
  <c r="G24" i="6"/>
  <c r="F24" i="6"/>
  <c r="AK23" i="6"/>
  <c r="AJ23" i="6"/>
  <c r="AI23" i="6"/>
  <c r="H23" i="6"/>
  <c r="G23" i="6"/>
  <c r="F23" i="6"/>
  <c r="AK22" i="6"/>
  <c r="AJ22" i="6"/>
  <c r="AI22" i="6"/>
  <c r="AK100" i="14" s="1"/>
  <c r="H22" i="6"/>
  <c r="G22" i="6"/>
  <c r="F22" i="6"/>
  <c r="AK21" i="6"/>
  <c r="AJ21" i="6"/>
  <c r="AI21" i="6"/>
  <c r="AK99" i="14" s="1"/>
  <c r="H21" i="6"/>
  <c r="G21" i="6"/>
  <c r="F21" i="6"/>
  <c r="AK20" i="6"/>
  <c r="AJ20" i="6"/>
  <c r="AI20" i="6"/>
  <c r="AK98" i="14" s="1"/>
  <c r="H20" i="6"/>
  <c r="G20" i="6"/>
  <c r="F20" i="6"/>
  <c r="AK19" i="6"/>
  <c r="AJ19" i="6"/>
  <c r="AI19" i="6"/>
  <c r="AK97" i="14" s="1"/>
  <c r="H19" i="6"/>
  <c r="G19" i="6"/>
  <c r="F19" i="6"/>
  <c r="AK18" i="6"/>
  <c r="AJ18" i="6"/>
  <c r="AI18" i="6"/>
  <c r="H18" i="6"/>
  <c r="G18" i="6"/>
  <c r="F18" i="6"/>
  <c r="AK17" i="6"/>
  <c r="AJ17" i="6"/>
  <c r="AI17" i="6"/>
  <c r="H17" i="6"/>
  <c r="G17" i="6"/>
  <c r="F17" i="6"/>
  <c r="AK16" i="6"/>
  <c r="AJ16" i="6"/>
  <c r="AI16" i="6"/>
  <c r="AK94" i="14" s="1"/>
  <c r="H16" i="6"/>
  <c r="G16" i="6"/>
  <c r="F16" i="6"/>
  <c r="AK15" i="6"/>
  <c r="AJ15" i="6"/>
  <c r="AI15" i="6"/>
  <c r="H15" i="6"/>
  <c r="G15" i="6"/>
  <c r="F15" i="6"/>
  <c r="AK14" i="6"/>
  <c r="AJ14" i="6"/>
  <c r="AI14" i="6"/>
  <c r="AK92" i="14" s="1"/>
  <c r="H14" i="6"/>
  <c r="G14" i="6"/>
  <c r="F14" i="6"/>
  <c r="AK13" i="6"/>
  <c r="AJ13" i="6"/>
  <c r="AI13" i="6"/>
  <c r="AK91" i="14" s="1"/>
  <c r="H13" i="6"/>
  <c r="G13" i="6"/>
  <c r="F13" i="6"/>
  <c r="AK12" i="6"/>
  <c r="AJ12" i="6"/>
  <c r="AI12" i="6"/>
  <c r="H12" i="6"/>
  <c r="G12" i="6"/>
  <c r="F12" i="6"/>
  <c r="AK11" i="6"/>
  <c r="AJ11" i="6"/>
  <c r="AI11" i="6"/>
  <c r="AK89" i="14" s="1"/>
  <c r="H11" i="6"/>
  <c r="G11" i="6"/>
  <c r="F11" i="6"/>
  <c r="AK10" i="6"/>
  <c r="AJ10" i="6"/>
  <c r="AI10" i="6"/>
  <c r="AK88" i="14" s="1"/>
  <c r="H10" i="6"/>
  <c r="G10" i="6"/>
  <c r="F10" i="6"/>
  <c r="AI9" i="6"/>
  <c r="H9" i="6" s="1"/>
  <c r="AD87" i="14" s="1"/>
  <c r="K6" i="6"/>
  <c r="AM58" i="5"/>
  <c r="G58" i="5" s="1"/>
  <c r="AK86" i="14" s="1"/>
  <c r="AL58" i="5"/>
  <c r="AK58" i="5"/>
  <c r="AJ58" i="5"/>
  <c r="AI58" i="5"/>
  <c r="AH58" i="5"/>
  <c r="H58" i="5"/>
  <c r="F58" i="5"/>
  <c r="AM57" i="5"/>
  <c r="G57" i="5" s="1"/>
  <c r="AK85" i="14" s="1"/>
  <c r="AL57" i="5"/>
  <c r="AK57" i="5"/>
  <c r="AJ57" i="5"/>
  <c r="AI57" i="5"/>
  <c r="AH57" i="5"/>
  <c r="H57" i="5"/>
  <c r="F57" i="5"/>
  <c r="AM56" i="5"/>
  <c r="G56" i="5" s="1"/>
  <c r="AL56" i="5"/>
  <c r="AK56" i="5"/>
  <c r="AJ56" i="5"/>
  <c r="AI56" i="5"/>
  <c r="AH56" i="5"/>
  <c r="H56" i="5"/>
  <c r="F56" i="5"/>
  <c r="AM55" i="5"/>
  <c r="G55" i="5" s="1"/>
  <c r="AK83" i="14" s="1"/>
  <c r="AL55" i="5"/>
  <c r="AK55" i="5"/>
  <c r="AJ55" i="5"/>
  <c r="AI55" i="5"/>
  <c r="AH55" i="5"/>
  <c r="H55" i="5"/>
  <c r="F55" i="5"/>
  <c r="AM54" i="5"/>
  <c r="G54" i="5" s="1"/>
  <c r="AK82" i="14" s="1"/>
  <c r="AL54" i="5"/>
  <c r="AK54" i="5"/>
  <c r="AJ54" i="5"/>
  <c r="AI54" i="5"/>
  <c r="AH54" i="5"/>
  <c r="H54" i="5"/>
  <c r="F54" i="5"/>
  <c r="AM53" i="5"/>
  <c r="G53" i="5" s="1"/>
  <c r="AK81" i="14" s="1"/>
  <c r="AL53" i="5"/>
  <c r="AK53" i="5"/>
  <c r="AJ53" i="5"/>
  <c r="AI53" i="5"/>
  <c r="AH53" i="5"/>
  <c r="H53" i="5"/>
  <c r="F53" i="5"/>
  <c r="AM52" i="5"/>
  <c r="G52" i="5" s="1"/>
  <c r="AK80" i="14" s="1"/>
  <c r="AL52" i="5"/>
  <c r="AK52" i="5"/>
  <c r="AJ52" i="5"/>
  <c r="AI52" i="5"/>
  <c r="AH52" i="5"/>
  <c r="H52" i="5"/>
  <c r="F52" i="5"/>
  <c r="AM51" i="5"/>
  <c r="G51" i="5" s="1"/>
  <c r="AK79" i="14" s="1"/>
  <c r="AL51" i="5"/>
  <c r="AK51" i="5"/>
  <c r="AJ51" i="5"/>
  <c r="AI51" i="5"/>
  <c r="AH51" i="5"/>
  <c r="H51" i="5"/>
  <c r="F51" i="5"/>
  <c r="AM50" i="5"/>
  <c r="G50" i="5" s="1"/>
  <c r="AL50" i="5"/>
  <c r="AK50" i="5"/>
  <c r="AJ50" i="5"/>
  <c r="AI50" i="5"/>
  <c r="AH50" i="5"/>
  <c r="H50" i="5"/>
  <c r="F50" i="5"/>
  <c r="AM49" i="5"/>
  <c r="G49" i="5" s="1"/>
  <c r="AK77" i="14" s="1"/>
  <c r="AL49" i="5"/>
  <c r="AK49" i="5"/>
  <c r="AJ49" i="5"/>
  <c r="AI49" i="5"/>
  <c r="AH49" i="5"/>
  <c r="H49" i="5"/>
  <c r="F49" i="5"/>
  <c r="AM48" i="5"/>
  <c r="G48" i="5" s="1"/>
  <c r="AK76" i="14" s="1"/>
  <c r="AL48" i="5"/>
  <c r="AK48" i="5"/>
  <c r="AJ48" i="5"/>
  <c r="AI48" i="5"/>
  <c r="AH48" i="5"/>
  <c r="H48" i="5"/>
  <c r="F48" i="5"/>
  <c r="AM47" i="5"/>
  <c r="G47" i="5" s="1"/>
  <c r="AL47" i="5"/>
  <c r="AK47" i="5"/>
  <c r="AJ47" i="5"/>
  <c r="AI47" i="5"/>
  <c r="AH47" i="5"/>
  <c r="H47" i="5"/>
  <c r="F47" i="5"/>
  <c r="AM46" i="5"/>
  <c r="G46" i="5" s="1"/>
  <c r="AK74" i="14" s="1"/>
  <c r="AL46" i="5"/>
  <c r="AK46" i="5"/>
  <c r="AJ46" i="5"/>
  <c r="AI46" i="5"/>
  <c r="AH46" i="5"/>
  <c r="H46" i="5"/>
  <c r="F46" i="5"/>
  <c r="AM45" i="5"/>
  <c r="G45" i="5" s="1"/>
  <c r="AK73" i="14" s="1"/>
  <c r="AL45" i="5"/>
  <c r="AK45" i="5"/>
  <c r="AJ45" i="5"/>
  <c r="AI45" i="5"/>
  <c r="AH45" i="5"/>
  <c r="H45" i="5"/>
  <c r="F45" i="5"/>
  <c r="AM44" i="5"/>
  <c r="G44" i="5" s="1"/>
  <c r="AK72" i="14" s="1"/>
  <c r="AL44" i="5"/>
  <c r="AK44" i="5"/>
  <c r="AJ44" i="5"/>
  <c r="AI44" i="5"/>
  <c r="AH44" i="5"/>
  <c r="H44" i="5"/>
  <c r="F44" i="5"/>
  <c r="AM43" i="5"/>
  <c r="AL43" i="5"/>
  <c r="AK43" i="5"/>
  <c r="AJ43" i="5"/>
  <c r="AI43" i="5"/>
  <c r="AH43" i="5"/>
  <c r="H43" i="5"/>
  <c r="G43" i="5"/>
  <c r="AK71" i="14" s="1"/>
  <c r="F43" i="5"/>
  <c r="AM42" i="5"/>
  <c r="G42" i="5" s="1"/>
  <c r="AK70" i="14" s="1"/>
  <c r="AL42" i="5"/>
  <c r="AK42" i="5"/>
  <c r="AJ42" i="5"/>
  <c r="AI42" i="5"/>
  <c r="AH42" i="5"/>
  <c r="H42" i="5"/>
  <c r="F42" i="5"/>
  <c r="AM41" i="5"/>
  <c r="G41" i="5" s="1"/>
  <c r="AK69" i="14" s="1"/>
  <c r="AL41" i="5"/>
  <c r="AK41" i="5"/>
  <c r="AJ41" i="5"/>
  <c r="AI41" i="5"/>
  <c r="AH41" i="5"/>
  <c r="H41" i="5"/>
  <c r="F41" i="5"/>
  <c r="AM40" i="5"/>
  <c r="G40" i="5" s="1"/>
  <c r="AK68" i="14" s="1"/>
  <c r="AL40" i="5"/>
  <c r="AK40" i="5"/>
  <c r="AJ40" i="5"/>
  <c r="AI40" i="5"/>
  <c r="AH40" i="5"/>
  <c r="H40" i="5"/>
  <c r="F40" i="5"/>
  <c r="AM39" i="5"/>
  <c r="AL39" i="5"/>
  <c r="AK39" i="5"/>
  <c r="AJ39" i="5"/>
  <c r="AI39" i="5"/>
  <c r="AH39" i="5"/>
  <c r="H39" i="5"/>
  <c r="G39" i="5"/>
  <c r="AK67" i="14" s="1"/>
  <c r="F39" i="5"/>
  <c r="AM38" i="5"/>
  <c r="G38" i="5" s="1"/>
  <c r="AK66" i="14" s="1"/>
  <c r="AL38" i="5"/>
  <c r="AK38" i="5"/>
  <c r="AJ38" i="5"/>
  <c r="AI38" i="5"/>
  <c r="AH38" i="5"/>
  <c r="H38" i="5"/>
  <c r="F38" i="5"/>
  <c r="AM37" i="5"/>
  <c r="G37" i="5" s="1"/>
  <c r="AK65" i="14" s="1"/>
  <c r="AL37" i="5"/>
  <c r="AK37" i="5"/>
  <c r="AJ37" i="5"/>
  <c r="AI37" i="5"/>
  <c r="AH37" i="5"/>
  <c r="H37" i="5"/>
  <c r="F37" i="5"/>
  <c r="AM36" i="5"/>
  <c r="G36" i="5" s="1"/>
  <c r="AK64" i="14" s="1"/>
  <c r="AL36" i="5"/>
  <c r="AK36" i="5"/>
  <c r="AJ36" i="5"/>
  <c r="AI36" i="5"/>
  <c r="AH36" i="5"/>
  <c r="H36" i="5"/>
  <c r="F36" i="5"/>
  <c r="AM35" i="5"/>
  <c r="G35" i="5" s="1"/>
  <c r="AL35" i="5"/>
  <c r="AK35" i="5"/>
  <c r="AJ35" i="5"/>
  <c r="AI35" i="5"/>
  <c r="AH35" i="5"/>
  <c r="H35" i="5"/>
  <c r="F35" i="5"/>
  <c r="AM34" i="5"/>
  <c r="G34" i="5" s="1"/>
  <c r="AK62" i="14" s="1"/>
  <c r="AL34" i="5"/>
  <c r="AK34" i="5"/>
  <c r="AJ34" i="5"/>
  <c r="AI34" i="5"/>
  <c r="AH34" i="5"/>
  <c r="H34" i="5"/>
  <c r="F34" i="5"/>
  <c r="AM33" i="5"/>
  <c r="AL33" i="5"/>
  <c r="AK33" i="5"/>
  <c r="AJ33" i="5"/>
  <c r="AI33" i="5"/>
  <c r="AH33" i="5"/>
  <c r="H33" i="5"/>
  <c r="G33" i="5"/>
  <c r="F33" i="5"/>
  <c r="AM32" i="5"/>
  <c r="G32" i="5" s="1"/>
  <c r="AL32" i="5"/>
  <c r="AK32" i="5"/>
  <c r="AJ32" i="5"/>
  <c r="AI32" i="5"/>
  <c r="AH32" i="5"/>
  <c r="H32" i="5"/>
  <c r="F32" i="5"/>
  <c r="AM31" i="5"/>
  <c r="G31" i="5" s="1"/>
  <c r="AK59" i="14" s="1"/>
  <c r="AL31" i="5"/>
  <c r="AK31" i="5"/>
  <c r="AJ31" i="5"/>
  <c r="AI31" i="5"/>
  <c r="AH31" i="5"/>
  <c r="H31" i="5"/>
  <c r="F31" i="5"/>
  <c r="AM30" i="5"/>
  <c r="G30" i="5" s="1"/>
  <c r="AL30" i="5"/>
  <c r="AK30" i="5"/>
  <c r="AJ30" i="5"/>
  <c r="AI30" i="5"/>
  <c r="AH30" i="5"/>
  <c r="H30" i="5"/>
  <c r="F30" i="5"/>
  <c r="AM29" i="5"/>
  <c r="G29" i="5" s="1"/>
  <c r="AL29" i="5"/>
  <c r="AK29" i="5"/>
  <c r="AJ29" i="5"/>
  <c r="AI29" i="5"/>
  <c r="AH29" i="5"/>
  <c r="H29" i="5"/>
  <c r="F29" i="5"/>
  <c r="AM28" i="5"/>
  <c r="G28" i="5" s="1"/>
  <c r="AK56" i="14" s="1"/>
  <c r="AL28" i="5"/>
  <c r="AK28" i="5"/>
  <c r="AJ28" i="5"/>
  <c r="AI28" i="5"/>
  <c r="AH28" i="5"/>
  <c r="H28" i="5"/>
  <c r="F28" i="5"/>
  <c r="AM27" i="5"/>
  <c r="G27" i="5" s="1"/>
  <c r="AK55" i="14" s="1"/>
  <c r="AL27" i="5"/>
  <c r="AK27" i="5"/>
  <c r="AJ27" i="5"/>
  <c r="AI27" i="5"/>
  <c r="AH27" i="5"/>
  <c r="H27" i="5"/>
  <c r="F27" i="5"/>
  <c r="AM26" i="5"/>
  <c r="G26" i="5" s="1"/>
  <c r="AK54" i="14" s="1"/>
  <c r="AL26" i="5"/>
  <c r="AK26" i="5"/>
  <c r="AJ26" i="5"/>
  <c r="AI26" i="5"/>
  <c r="AH26" i="5"/>
  <c r="H26" i="5"/>
  <c r="F26" i="5"/>
  <c r="AM25" i="5"/>
  <c r="G25" i="5" s="1"/>
  <c r="AL25" i="5"/>
  <c r="AK25" i="5"/>
  <c r="AJ25" i="5"/>
  <c r="AI25" i="5"/>
  <c r="AH25" i="5"/>
  <c r="H25" i="5"/>
  <c r="F25" i="5"/>
  <c r="AM24" i="5"/>
  <c r="G24" i="5" s="1"/>
  <c r="AK52" i="14" s="1"/>
  <c r="AL24" i="5"/>
  <c r="AK24" i="5"/>
  <c r="AJ24" i="5"/>
  <c r="AI24" i="5"/>
  <c r="AH24" i="5"/>
  <c r="H24" i="5"/>
  <c r="F24" i="5"/>
  <c r="AM23" i="5"/>
  <c r="G23" i="5" s="1"/>
  <c r="AL23" i="5"/>
  <c r="AK23" i="5"/>
  <c r="AJ23" i="5"/>
  <c r="AI23" i="5"/>
  <c r="AH23" i="5"/>
  <c r="H23" i="5"/>
  <c r="F23" i="5"/>
  <c r="AM22" i="5"/>
  <c r="G22" i="5" s="1"/>
  <c r="AK50" i="14" s="1"/>
  <c r="AL22" i="5"/>
  <c r="AK22" i="5"/>
  <c r="AJ22" i="5"/>
  <c r="AI22" i="5"/>
  <c r="AH22" i="5"/>
  <c r="H22" i="5"/>
  <c r="F22" i="5"/>
  <c r="AM21" i="5"/>
  <c r="G21" i="5" s="1"/>
  <c r="AL21" i="5"/>
  <c r="AK21" i="5"/>
  <c r="AJ21" i="5"/>
  <c r="AI21" i="5"/>
  <c r="AH21" i="5"/>
  <c r="H21" i="5"/>
  <c r="F21" i="5"/>
  <c r="AM20" i="5"/>
  <c r="G20" i="5" s="1"/>
  <c r="AK48" i="14" s="1"/>
  <c r="AL20" i="5"/>
  <c r="AK20" i="5"/>
  <c r="AJ20" i="5"/>
  <c r="AI20" i="5"/>
  <c r="AH20" i="5"/>
  <c r="H20" i="5"/>
  <c r="F20" i="5"/>
  <c r="AM19" i="5"/>
  <c r="G19" i="5" s="1"/>
  <c r="AK47" i="14" s="1"/>
  <c r="AL19" i="5"/>
  <c r="AK19" i="5"/>
  <c r="AJ19" i="5"/>
  <c r="AI19" i="5"/>
  <c r="AH19" i="5"/>
  <c r="H19" i="5"/>
  <c r="F19" i="5"/>
  <c r="AM18" i="5"/>
  <c r="G18" i="5" s="1"/>
  <c r="AL18" i="5"/>
  <c r="AK18" i="5"/>
  <c r="AJ18" i="5"/>
  <c r="AI18" i="5"/>
  <c r="AH18" i="5"/>
  <c r="H18" i="5"/>
  <c r="F18" i="5"/>
  <c r="AM17" i="5"/>
  <c r="G17" i="5" s="1"/>
  <c r="AK45" i="14" s="1"/>
  <c r="AL17" i="5"/>
  <c r="AK17" i="5"/>
  <c r="AJ17" i="5"/>
  <c r="AI17" i="5"/>
  <c r="AH17" i="5"/>
  <c r="H17" i="5"/>
  <c r="F17" i="5"/>
  <c r="AM16" i="5"/>
  <c r="G16" i="5" s="1"/>
  <c r="AK44" i="14" s="1"/>
  <c r="AL16" i="5"/>
  <c r="AK16" i="5"/>
  <c r="AJ16" i="5"/>
  <c r="AI16" i="5"/>
  <c r="AH16" i="5"/>
  <c r="H16" i="5"/>
  <c r="F16" i="5"/>
  <c r="AM15" i="5"/>
  <c r="G15" i="5" s="1"/>
  <c r="AK43" i="14" s="1"/>
  <c r="AL15" i="5"/>
  <c r="AK15" i="5"/>
  <c r="AJ15" i="5"/>
  <c r="AI15" i="5"/>
  <c r="AH15" i="5"/>
  <c r="H15" i="5"/>
  <c r="F15" i="5"/>
  <c r="AM14" i="5"/>
  <c r="G14" i="5" s="1"/>
  <c r="AK42" i="14" s="1"/>
  <c r="AL14" i="5"/>
  <c r="AK14" i="5"/>
  <c r="AJ14" i="5"/>
  <c r="AI14" i="5"/>
  <c r="AH14" i="5"/>
  <c r="H14" i="5"/>
  <c r="F14" i="5"/>
  <c r="AM13" i="5"/>
  <c r="G13" i="5" s="1"/>
  <c r="AL13" i="5"/>
  <c r="AK13" i="5"/>
  <c r="AJ13" i="5"/>
  <c r="AI13" i="5"/>
  <c r="AH13" i="5"/>
  <c r="H13" i="5"/>
  <c r="F13" i="5"/>
  <c r="AM12" i="5"/>
  <c r="G12" i="5" s="1"/>
  <c r="AL12" i="5"/>
  <c r="AK12" i="5"/>
  <c r="AJ12" i="5"/>
  <c r="AI12" i="5"/>
  <c r="AH12" i="5"/>
  <c r="H12" i="5"/>
  <c r="F12" i="5"/>
  <c r="AM11" i="5"/>
  <c r="G11" i="5" s="1"/>
  <c r="AK39" i="14" s="1"/>
  <c r="AL11" i="5"/>
  <c r="AK11" i="5"/>
  <c r="AJ11" i="5"/>
  <c r="AI11" i="5"/>
  <c r="AH11" i="5"/>
  <c r="H11" i="5"/>
  <c r="F11" i="5"/>
  <c r="AM10" i="5"/>
  <c r="G10" i="5" s="1"/>
  <c r="AK38" i="14" s="1"/>
  <c r="AL10" i="5"/>
  <c r="AK10" i="5"/>
  <c r="AJ10" i="5"/>
  <c r="AI10" i="5"/>
  <c r="AH10" i="5"/>
  <c r="H10" i="5"/>
  <c r="F10" i="5"/>
  <c r="AL9" i="5"/>
  <c r="AJ9" i="5"/>
  <c r="AK9" i="5" s="1"/>
  <c r="AI9" i="5"/>
  <c r="AH9" i="5"/>
  <c r="K6" i="5"/>
  <c r="Q58" i="4"/>
  <c r="P58" i="4"/>
  <c r="F58" i="4"/>
  <c r="Q57" i="4"/>
  <c r="P57" i="4"/>
  <c r="F57" i="4"/>
  <c r="Q56" i="4"/>
  <c r="P56" i="4"/>
  <c r="F56" i="4"/>
  <c r="Q55" i="4"/>
  <c r="P55" i="4"/>
  <c r="F55" i="4"/>
  <c r="Q54" i="4"/>
  <c r="P54" i="4"/>
  <c r="F54" i="4"/>
  <c r="Q53" i="4"/>
  <c r="P53" i="4"/>
  <c r="F53" i="4"/>
  <c r="Q52" i="4"/>
  <c r="P52" i="4"/>
  <c r="F52" i="4"/>
  <c r="Q51" i="4"/>
  <c r="P51" i="4"/>
  <c r="F51" i="4"/>
  <c r="Q50" i="4"/>
  <c r="P50" i="4"/>
  <c r="F50" i="4"/>
  <c r="Q49" i="4"/>
  <c r="P49" i="4"/>
  <c r="F49" i="4"/>
  <c r="Q48" i="4"/>
  <c r="P48" i="4"/>
  <c r="F48" i="4"/>
  <c r="Q47" i="4"/>
  <c r="P47" i="4"/>
  <c r="F47" i="4"/>
  <c r="Q46" i="4"/>
  <c r="P46" i="4"/>
  <c r="F46" i="4"/>
  <c r="Q45" i="4"/>
  <c r="P45" i="4"/>
  <c r="F45" i="4"/>
  <c r="Q44" i="4"/>
  <c r="P44" i="4"/>
  <c r="F44" i="4"/>
  <c r="Q43" i="4"/>
  <c r="P43" i="4"/>
  <c r="F43" i="4"/>
  <c r="Q42" i="4"/>
  <c r="P42" i="4"/>
  <c r="F42" i="4"/>
  <c r="Q41" i="4"/>
  <c r="P41" i="4"/>
  <c r="F41" i="4"/>
  <c r="Q40" i="4"/>
  <c r="P40" i="4"/>
  <c r="F40" i="4"/>
  <c r="Q39" i="4"/>
  <c r="P39" i="4"/>
  <c r="F39" i="4"/>
  <c r="Q38" i="4"/>
  <c r="P38" i="4"/>
  <c r="F38" i="4"/>
  <c r="Q37" i="4"/>
  <c r="P37" i="4"/>
  <c r="F37" i="4"/>
  <c r="Q36" i="4"/>
  <c r="P36" i="4"/>
  <c r="F36" i="4"/>
  <c r="Q35" i="4"/>
  <c r="P35" i="4"/>
  <c r="F35" i="4"/>
  <c r="Q34" i="4"/>
  <c r="P34" i="4"/>
  <c r="F34" i="4"/>
  <c r="Q33" i="4"/>
  <c r="P33" i="4"/>
  <c r="F33" i="4"/>
  <c r="Q32" i="4"/>
  <c r="P32" i="4"/>
  <c r="F32" i="4"/>
  <c r="Q31" i="4"/>
  <c r="P31" i="4"/>
  <c r="F31" i="4"/>
  <c r="Q30" i="4"/>
  <c r="P30" i="4"/>
  <c r="F30" i="4"/>
  <c r="Q29" i="4"/>
  <c r="P29" i="4"/>
  <c r="F29" i="4"/>
  <c r="Q28" i="4"/>
  <c r="P28" i="4"/>
  <c r="F28" i="4"/>
  <c r="Q27" i="4"/>
  <c r="P27" i="4"/>
  <c r="F27" i="4"/>
  <c r="Q26" i="4"/>
  <c r="P26" i="4"/>
  <c r="F26" i="4"/>
  <c r="Q25" i="4"/>
  <c r="P25" i="4"/>
  <c r="F25" i="4"/>
  <c r="Q24" i="4"/>
  <c r="P24" i="4"/>
  <c r="F24" i="4"/>
  <c r="Q23" i="4"/>
  <c r="P23" i="4"/>
  <c r="F23" i="4"/>
  <c r="Q22" i="4"/>
  <c r="P22" i="4"/>
  <c r="F22" i="4"/>
  <c r="Q21" i="4"/>
  <c r="P21" i="4"/>
  <c r="F21" i="4"/>
  <c r="Q20" i="4"/>
  <c r="P20" i="4"/>
  <c r="F20" i="4"/>
  <c r="Q19" i="4"/>
  <c r="P19" i="4"/>
  <c r="F19" i="4"/>
  <c r="Q18" i="4"/>
  <c r="P18" i="4"/>
  <c r="F18" i="4"/>
  <c r="Q17" i="4"/>
  <c r="P17" i="4"/>
  <c r="F17" i="4"/>
  <c r="Q16" i="4"/>
  <c r="P16" i="4"/>
  <c r="F16" i="4"/>
  <c r="Q15" i="4"/>
  <c r="AD36" i="14" s="1"/>
  <c r="F15" i="4"/>
  <c r="P15" i="4" s="1"/>
  <c r="Y36" i="14" s="1"/>
  <c r="Q14" i="4"/>
  <c r="AD35" i="14" s="1"/>
  <c r="F14" i="4"/>
  <c r="I14" i="3" s="1"/>
  <c r="Q13" i="4"/>
  <c r="AD34" i="14" s="1"/>
  <c r="P13" i="4"/>
  <c r="Y34" i="14" s="1"/>
  <c r="F13" i="4"/>
  <c r="Q12" i="4"/>
  <c r="AD33" i="14" s="1"/>
  <c r="P12" i="4"/>
  <c r="Y33" i="14" s="1"/>
  <c r="F12" i="4"/>
  <c r="I12" i="3" s="1"/>
  <c r="Q11" i="4"/>
  <c r="AD32" i="14" s="1"/>
  <c r="P11" i="4"/>
  <c r="Y32" i="14" s="1"/>
  <c r="F11" i="4"/>
  <c r="I11" i="3" s="1"/>
  <c r="Q10" i="4"/>
  <c r="AD31" i="14" s="1"/>
  <c r="F10" i="4"/>
  <c r="P10" i="4" s="1"/>
  <c r="Y31" i="14" s="1"/>
  <c r="Q9" i="4"/>
  <c r="AD30" i="14" s="1"/>
  <c r="F9" i="4"/>
  <c r="I9" i="3" s="1"/>
  <c r="K6" i="4"/>
  <c r="H15" i="3"/>
  <c r="G15" i="3"/>
  <c r="F15" i="3"/>
  <c r="E15" i="3"/>
  <c r="D15" i="3"/>
  <c r="C15" i="3"/>
  <c r="B15" i="3"/>
  <c r="A15" i="3"/>
  <c r="H14" i="3"/>
  <c r="G14" i="3"/>
  <c r="F14" i="3"/>
  <c r="E14" i="3"/>
  <c r="D14" i="3"/>
  <c r="C14" i="3"/>
  <c r="B14" i="3"/>
  <c r="A14" i="3"/>
  <c r="H13" i="3"/>
  <c r="G13" i="3"/>
  <c r="F13" i="3"/>
  <c r="E13" i="3"/>
  <c r="D13" i="3"/>
  <c r="C13" i="3"/>
  <c r="B13" i="3"/>
  <c r="A13" i="3"/>
  <c r="H12" i="3"/>
  <c r="G12" i="3"/>
  <c r="F12" i="3"/>
  <c r="E12" i="3"/>
  <c r="D12" i="3"/>
  <c r="C12" i="3"/>
  <c r="B12" i="3"/>
  <c r="A12" i="3"/>
  <c r="H11" i="3"/>
  <c r="G11" i="3"/>
  <c r="F11" i="3"/>
  <c r="E11" i="3"/>
  <c r="D11" i="3"/>
  <c r="C11" i="3"/>
  <c r="B11" i="3"/>
  <c r="A11" i="3"/>
  <c r="H10" i="3"/>
  <c r="G10" i="3"/>
  <c r="F10" i="3"/>
  <c r="E10" i="3"/>
  <c r="D10" i="3"/>
  <c r="C10" i="3"/>
  <c r="B10" i="3"/>
  <c r="A10" i="3"/>
  <c r="H9" i="3"/>
  <c r="G9" i="3"/>
  <c r="F9" i="3"/>
  <c r="E9" i="3"/>
  <c r="D9" i="3"/>
  <c r="C9" i="3"/>
  <c r="B9" i="3"/>
  <c r="A9" i="3"/>
  <c r="A36" i="2"/>
  <c r="AK53" i="14" l="1"/>
  <c r="AK57" i="14"/>
  <c r="AK61" i="14"/>
  <c r="AK165" i="14"/>
  <c r="AK169" i="14"/>
  <c r="AK173" i="14"/>
  <c r="AK177" i="14"/>
  <c r="AK181" i="14"/>
  <c r="AK185" i="14"/>
  <c r="G14" i="9"/>
  <c r="AC242" i="14" s="1"/>
  <c r="AR242" i="14" s="1"/>
  <c r="AK161" i="14"/>
  <c r="AK396" i="14"/>
  <c r="AP396" i="14" s="1"/>
  <c r="AK413" i="14"/>
  <c r="AK49" i="14"/>
  <c r="D17" i="12"/>
  <c r="AK428" i="14"/>
  <c r="AQ428" i="14" s="1"/>
  <c r="AK217" i="14"/>
  <c r="AK221" i="14"/>
  <c r="AK225" i="14"/>
  <c r="AK229" i="14"/>
  <c r="AK233" i="14"/>
  <c r="AK424" i="14"/>
  <c r="AP424" i="14" s="1"/>
  <c r="AK426" i="14"/>
  <c r="AK41" i="14"/>
  <c r="AK93" i="14"/>
  <c r="AK101" i="14"/>
  <c r="AK51" i="14"/>
  <c r="AK140" i="14"/>
  <c r="AK144" i="14"/>
  <c r="AK148" i="14"/>
  <c r="AQ148" i="14" s="1"/>
  <c r="AK152" i="14"/>
  <c r="AK156" i="14"/>
  <c r="AK160" i="14"/>
  <c r="AK164" i="14"/>
  <c r="AK172" i="14"/>
  <c r="AK176" i="14"/>
  <c r="AK180" i="14"/>
  <c r="AK184" i="14"/>
  <c r="AK262" i="14"/>
  <c r="AK412" i="14"/>
  <c r="AK417" i="14"/>
  <c r="AK84" i="14"/>
  <c r="AK421" i="14"/>
  <c r="AK400" i="14"/>
  <c r="AO400" i="14" s="1"/>
  <c r="AK416" i="14"/>
  <c r="AK432" i="14"/>
  <c r="AP432" i="14" s="1"/>
  <c r="AC387" i="14"/>
  <c r="AR387" i="14" s="1"/>
  <c r="AK397" i="14"/>
  <c r="AK401" i="14"/>
  <c r="AK46" i="14"/>
  <c r="AK75" i="14"/>
  <c r="AK96" i="14"/>
  <c r="AK104" i="14"/>
  <c r="AK112" i="14"/>
  <c r="AK120" i="14"/>
  <c r="AQ120" i="14" s="1"/>
  <c r="AK128" i="14"/>
  <c r="AK136" i="14"/>
  <c r="AK261" i="14"/>
  <c r="AK390" i="14"/>
  <c r="AO390" i="14" s="1"/>
  <c r="AK394" i="14"/>
  <c r="AO394" i="14" s="1"/>
  <c r="AK398" i="14"/>
  <c r="AO398" i="14" s="1"/>
  <c r="AK58" i="14"/>
  <c r="AP58" i="14" s="1"/>
  <c r="AK60" i="14"/>
  <c r="AK249" i="14"/>
  <c r="AK252" i="14"/>
  <c r="AK302" i="14"/>
  <c r="AK318" i="14"/>
  <c r="AK334" i="14"/>
  <c r="AK364" i="14"/>
  <c r="AK430" i="14"/>
  <c r="F9" i="5"/>
  <c r="Y37" i="14" s="1"/>
  <c r="AK188" i="14"/>
  <c r="AK192" i="14"/>
  <c r="AK196" i="14"/>
  <c r="AK208" i="14"/>
  <c r="AK212" i="14"/>
  <c r="AK258" i="14"/>
  <c r="AK331" i="14"/>
  <c r="AQ331" i="14" s="1"/>
  <c r="AK343" i="14"/>
  <c r="AK359" i="14"/>
  <c r="AK393" i="14"/>
  <c r="AL424" i="14"/>
  <c r="D19" i="12"/>
  <c r="AK408" i="14"/>
  <c r="AP408" i="14" s="1"/>
  <c r="G10" i="9"/>
  <c r="H10" i="9" s="1"/>
  <c r="AD238" i="14" s="1"/>
  <c r="AM400" i="14"/>
  <c r="AP416" i="14"/>
  <c r="AQ416" i="14"/>
  <c r="AO416" i="14"/>
  <c r="AM416" i="14"/>
  <c r="AL416" i="14"/>
  <c r="G16" i="9"/>
  <c r="H16" i="9" s="1"/>
  <c r="AD244" i="14" s="1"/>
  <c r="AJ9" i="6"/>
  <c r="AK9" i="6" s="1"/>
  <c r="F9" i="6" s="1"/>
  <c r="Y87" i="14" s="1"/>
  <c r="AK90" i="14"/>
  <c r="AK283" i="14"/>
  <c r="AP283" i="14" s="1"/>
  <c r="AK406" i="14"/>
  <c r="AK418" i="14"/>
  <c r="AK190" i="14"/>
  <c r="AK222" i="14"/>
  <c r="AK322" i="14"/>
  <c r="AK344" i="14"/>
  <c r="AK411" i="14"/>
  <c r="AN411" i="14" s="1"/>
  <c r="AO428" i="14"/>
  <c r="AR390" i="14"/>
  <c r="AK399" i="14"/>
  <c r="AK420" i="14"/>
  <c r="AK40" i="14"/>
  <c r="AO40" i="14" s="1"/>
  <c r="AK313" i="14"/>
  <c r="AK361" i="14"/>
  <c r="AQ361" i="14" s="1"/>
  <c r="AL396" i="14"/>
  <c r="AK227" i="14"/>
  <c r="AQ227" i="14" s="1"/>
  <c r="AK326" i="14"/>
  <c r="AQ326" i="14" s="1"/>
  <c r="AK388" i="14"/>
  <c r="AM396" i="14"/>
  <c r="AR398" i="14"/>
  <c r="AK409" i="14"/>
  <c r="AK414" i="14"/>
  <c r="X12" i="9"/>
  <c r="V12" i="9" s="1"/>
  <c r="H12" i="9" s="1"/>
  <c r="AD240" i="14" s="1"/>
  <c r="AO396" i="14"/>
  <c r="AR426" i="14"/>
  <c r="I10" i="3"/>
  <c r="AK63" i="14"/>
  <c r="AK78" i="14"/>
  <c r="AP78" i="14" s="1"/>
  <c r="G9" i="7"/>
  <c r="AK256" i="14"/>
  <c r="AP256" i="14" s="1"/>
  <c r="AK304" i="14"/>
  <c r="AP304" i="14" s="1"/>
  <c r="AK336" i="14"/>
  <c r="AP336" i="14" s="1"/>
  <c r="AQ396" i="14"/>
  <c r="AK407" i="14"/>
  <c r="AN407" i="14" s="1"/>
  <c r="AO408" i="14"/>
  <c r="AK404" i="14"/>
  <c r="AQ408" i="14"/>
  <c r="AK422" i="14"/>
  <c r="AO422" i="14" s="1"/>
  <c r="AK434" i="14"/>
  <c r="AR394" i="14"/>
  <c r="AK410" i="14"/>
  <c r="X13" i="9"/>
  <c r="V13" i="9" s="1"/>
  <c r="H13" i="9" s="1"/>
  <c r="AD241" i="14" s="1"/>
  <c r="AM9" i="5"/>
  <c r="G9" i="5" s="1"/>
  <c r="AK392" i="14"/>
  <c r="AR393" i="14"/>
  <c r="AK403" i="14"/>
  <c r="AL403" i="14" s="1"/>
  <c r="AM424" i="14"/>
  <c r="AR430" i="14"/>
  <c r="C6" i="7"/>
  <c r="AK353" i="14"/>
  <c r="AK389" i="14"/>
  <c r="AK415" i="14"/>
  <c r="AO424" i="14"/>
  <c r="AK436" i="14"/>
  <c r="AQ436" i="14" s="1"/>
  <c r="AK95" i="14"/>
  <c r="AK103" i="14"/>
  <c r="AK213" i="14"/>
  <c r="AK348" i="14"/>
  <c r="D18" i="12"/>
  <c r="AQ424" i="14"/>
  <c r="AP62" i="14"/>
  <c r="AO62" i="14"/>
  <c r="AN62" i="14"/>
  <c r="AM62" i="14"/>
  <c r="AL62" i="14"/>
  <c r="AQ62" i="14"/>
  <c r="AL79" i="14"/>
  <c r="AQ79" i="14"/>
  <c r="AP79" i="14"/>
  <c r="AO79" i="14"/>
  <c r="AN79" i="14"/>
  <c r="AM79" i="14"/>
  <c r="G9" i="6"/>
  <c r="AC87" i="14" s="1"/>
  <c r="AR87" i="14" s="1"/>
  <c r="AQ263" i="14"/>
  <c r="AP263" i="14"/>
  <c r="AO263" i="14"/>
  <c r="AN263" i="14"/>
  <c r="AM263" i="14"/>
  <c r="AL263" i="14"/>
  <c r="AL47" i="14"/>
  <c r="AQ47" i="14"/>
  <c r="AP47" i="14"/>
  <c r="AO47" i="14"/>
  <c r="AN47" i="14"/>
  <c r="AM47" i="14"/>
  <c r="AP66" i="14"/>
  <c r="AO66" i="14"/>
  <c r="AN66" i="14"/>
  <c r="AM66" i="14"/>
  <c r="AL66" i="14"/>
  <c r="AQ66" i="14"/>
  <c r="AQ81" i="14"/>
  <c r="AP81" i="14"/>
  <c r="AO81" i="14"/>
  <c r="AN81" i="14"/>
  <c r="AM81" i="14"/>
  <c r="AL81" i="14"/>
  <c r="AN280" i="14"/>
  <c r="AM280" i="14"/>
  <c r="AL280" i="14"/>
  <c r="AQ280" i="14"/>
  <c r="AP280" i="14"/>
  <c r="AO280" i="14"/>
  <c r="AQ49" i="14"/>
  <c r="AP49" i="14"/>
  <c r="AO49" i="14"/>
  <c r="AN49" i="14"/>
  <c r="AM49" i="14"/>
  <c r="AL49" i="14"/>
  <c r="AQ68" i="14"/>
  <c r="AP68" i="14"/>
  <c r="AO68" i="14"/>
  <c r="AN68" i="14"/>
  <c r="AM68" i="14"/>
  <c r="AL68" i="14"/>
  <c r="AN272" i="14"/>
  <c r="AQ272" i="14"/>
  <c r="AP272" i="14"/>
  <c r="AO272" i="14"/>
  <c r="AM272" i="14"/>
  <c r="AL272" i="14"/>
  <c r="AQ255" i="14"/>
  <c r="AP255" i="14"/>
  <c r="AO255" i="14"/>
  <c r="AN255" i="14"/>
  <c r="AM255" i="14"/>
  <c r="AL255" i="14"/>
  <c r="AL275" i="14"/>
  <c r="AQ275" i="14"/>
  <c r="AN275" i="14"/>
  <c r="AM275" i="14"/>
  <c r="AP275" i="14"/>
  <c r="AO275" i="14"/>
  <c r="G17" i="9"/>
  <c r="F17" i="9" s="1"/>
  <c r="Y245" i="14" s="1"/>
  <c r="AQ60" i="14"/>
  <c r="AP60" i="14"/>
  <c r="AO60" i="14"/>
  <c r="AN60" i="14"/>
  <c r="AM60" i="14"/>
  <c r="AL60" i="14"/>
  <c r="C6" i="9"/>
  <c r="G9" i="9"/>
  <c r="F9" i="9" s="1"/>
  <c r="Y237" i="14" s="1"/>
  <c r="AQ40" i="14"/>
  <c r="AP40" i="14"/>
  <c r="AN40" i="14"/>
  <c r="AQ72" i="14"/>
  <c r="AP72" i="14"/>
  <c r="AO72" i="14"/>
  <c r="AN72" i="14"/>
  <c r="AM72" i="14"/>
  <c r="AL72" i="14"/>
  <c r="G11" i="9"/>
  <c r="AQ264" i="14"/>
  <c r="AP264" i="14"/>
  <c r="AO264" i="14"/>
  <c r="AN264" i="14"/>
  <c r="AM264" i="14"/>
  <c r="AL264" i="14"/>
  <c r="AP42" i="14"/>
  <c r="AO42" i="14"/>
  <c r="AN42" i="14"/>
  <c r="AM42" i="14"/>
  <c r="AL42" i="14"/>
  <c r="AQ42" i="14"/>
  <c r="AP74" i="14"/>
  <c r="AO74" i="14"/>
  <c r="AN74" i="14"/>
  <c r="AM74" i="14"/>
  <c r="AL74" i="14"/>
  <c r="AQ74" i="14"/>
  <c r="AQ267" i="14"/>
  <c r="AP267" i="14"/>
  <c r="AO267" i="14"/>
  <c r="AN267" i="14"/>
  <c r="AM267" i="14"/>
  <c r="AL267" i="14"/>
  <c r="AC287" i="14"/>
  <c r="AR287" i="14" s="1"/>
  <c r="F9" i="10"/>
  <c r="Y287" i="14" s="1"/>
  <c r="AK287" i="14" s="1"/>
  <c r="C6" i="5"/>
  <c r="AQ44" i="14"/>
  <c r="AP44" i="14"/>
  <c r="AO44" i="14"/>
  <c r="AN44" i="14"/>
  <c r="AM44" i="14"/>
  <c r="AL44" i="14"/>
  <c r="AQ76" i="14"/>
  <c r="AP76" i="14"/>
  <c r="AO76" i="14"/>
  <c r="AN76" i="14"/>
  <c r="AM76" i="14"/>
  <c r="AL76" i="14"/>
  <c r="AP46" i="14"/>
  <c r="AO46" i="14"/>
  <c r="AN46" i="14"/>
  <c r="AM46" i="14"/>
  <c r="AL46" i="14"/>
  <c r="AQ46" i="14"/>
  <c r="AL63" i="14"/>
  <c r="AQ63" i="14"/>
  <c r="AP63" i="14"/>
  <c r="AO63" i="14"/>
  <c r="AN63" i="14"/>
  <c r="AM63" i="14"/>
  <c r="AO78" i="14"/>
  <c r="AN78" i="14"/>
  <c r="AM78" i="14"/>
  <c r="AN256" i="14"/>
  <c r="AM256" i="14"/>
  <c r="AL256" i="14"/>
  <c r="AQ65" i="14"/>
  <c r="AP65" i="14"/>
  <c r="AO65" i="14"/>
  <c r="AN65" i="14"/>
  <c r="AM65" i="14"/>
  <c r="AL65" i="14"/>
  <c r="AP82" i="14"/>
  <c r="AO82" i="14"/>
  <c r="AN82" i="14"/>
  <c r="AM82" i="14"/>
  <c r="AL82" i="14"/>
  <c r="AQ82" i="14"/>
  <c r="H19" i="9"/>
  <c r="AD247" i="14" s="1"/>
  <c r="F19" i="9"/>
  <c r="Y247" i="14" s="1"/>
  <c r="AP259" i="14"/>
  <c r="AO259" i="14"/>
  <c r="AQ259" i="14"/>
  <c r="AN259" i="14"/>
  <c r="AM259" i="14"/>
  <c r="AL259" i="14"/>
  <c r="AQ84" i="14"/>
  <c r="AP84" i="14"/>
  <c r="AO84" i="14"/>
  <c r="AN84" i="14"/>
  <c r="AM84" i="14"/>
  <c r="AL84" i="14"/>
  <c r="AP279" i="14"/>
  <c r="AO279" i="14"/>
  <c r="AN279" i="14"/>
  <c r="AM279" i="14"/>
  <c r="AL279" i="14"/>
  <c r="AQ279" i="14"/>
  <c r="AP50" i="14"/>
  <c r="AO50" i="14"/>
  <c r="AN50" i="14"/>
  <c r="AM50" i="14"/>
  <c r="AL50" i="14"/>
  <c r="AQ50" i="14"/>
  <c r="H20" i="9"/>
  <c r="AD248" i="14" s="1"/>
  <c r="F20" i="9"/>
  <c r="Y248" i="14" s="1"/>
  <c r="AQ251" i="14"/>
  <c r="AP251" i="14"/>
  <c r="AO251" i="14"/>
  <c r="AN251" i="14"/>
  <c r="AM251" i="14"/>
  <c r="AL251" i="14"/>
  <c r="AQ271" i="14"/>
  <c r="AP271" i="14"/>
  <c r="AO271" i="14"/>
  <c r="AM271" i="14"/>
  <c r="AN271" i="14"/>
  <c r="AL271" i="14"/>
  <c r="AQ52" i="14"/>
  <c r="AP52" i="14"/>
  <c r="AO52" i="14"/>
  <c r="AN52" i="14"/>
  <c r="AM52" i="14"/>
  <c r="AL52" i="14"/>
  <c r="AQ56" i="14"/>
  <c r="AP56" i="14"/>
  <c r="AO56" i="14"/>
  <c r="AN56" i="14"/>
  <c r="AM56" i="14"/>
  <c r="AL56" i="14"/>
  <c r="AC187" i="14"/>
  <c r="AR187" i="14" s="1"/>
  <c r="J13" i="3" s="1"/>
  <c r="AC34" i="14"/>
  <c r="AR34" i="14" s="1"/>
  <c r="AQ61" i="14"/>
  <c r="AP61" i="14"/>
  <c r="AO61" i="14"/>
  <c r="AN61" i="14"/>
  <c r="AM61" i="14"/>
  <c r="AL61" i="14"/>
  <c r="AP38" i="14"/>
  <c r="AO38" i="14"/>
  <c r="AN38" i="14"/>
  <c r="AM38" i="14"/>
  <c r="AL38" i="14"/>
  <c r="AQ38" i="14"/>
  <c r="I13" i="3"/>
  <c r="AQ88" i="14"/>
  <c r="AP88" i="14"/>
  <c r="AO88" i="14"/>
  <c r="AN88" i="14"/>
  <c r="AM88" i="14"/>
  <c r="AL88" i="14"/>
  <c r="AQ96" i="14"/>
  <c r="AP96" i="14"/>
  <c r="AO96" i="14"/>
  <c r="AN96" i="14"/>
  <c r="AM96" i="14"/>
  <c r="AL96" i="14"/>
  <c r="AN104" i="14"/>
  <c r="AL104" i="14"/>
  <c r="AQ104" i="14"/>
  <c r="AP104" i="14"/>
  <c r="AO104" i="14"/>
  <c r="AM104" i="14"/>
  <c r="AP112" i="14"/>
  <c r="AN112" i="14"/>
  <c r="AL112" i="14"/>
  <c r="AO112" i="14"/>
  <c r="AM112" i="14"/>
  <c r="AQ112" i="14"/>
  <c r="AM120" i="14"/>
  <c r="AQ128" i="14"/>
  <c r="AP128" i="14"/>
  <c r="AN128" i="14"/>
  <c r="AM128" i="14"/>
  <c r="AL128" i="14"/>
  <c r="AO128" i="14"/>
  <c r="AQ136" i="14"/>
  <c r="AP136" i="14"/>
  <c r="AO136" i="14"/>
  <c r="AN136" i="14"/>
  <c r="AM136" i="14"/>
  <c r="AL136" i="14"/>
  <c r="H14" i="9"/>
  <c r="AD242" i="14" s="1"/>
  <c r="AP297" i="14"/>
  <c r="AL297" i="14"/>
  <c r="AQ297" i="14"/>
  <c r="AO297" i="14"/>
  <c r="AN297" i="14"/>
  <c r="AM297" i="14"/>
  <c r="AP313" i="14"/>
  <c r="AL313" i="14"/>
  <c r="AQ313" i="14"/>
  <c r="AO313" i="14"/>
  <c r="AN313" i="14"/>
  <c r="AM313" i="14"/>
  <c r="AP329" i="14"/>
  <c r="AL329" i="14"/>
  <c r="AQ329" i="14"/>
  <c r="AO329" i="14"/>
  <c r="AN329" i="14"/>
  <c r="AM329" i="14"/>
  <c r="AP350" i="14"/>
  <c r="AL350" i="14"/>
  <c r="AQ350" i="14"/>
  <c r="AO350" i="14"/>
  <c r="AN350" i="14"/>
  <c r="AM350" i="14"/>
  <c r="AQ366" i="14"/>
  <c r="AP366" i="14"/>
  <c r="AL366" i="14"/>
  <c r="AO366" i="14"/>
  <c r="AN366" i="14"/>
  <c r="AM366" i="14"/>
  <c r="AQ382" i="14"/>
  <c r="AP382" i="14"/>
  <c r="AL382" i="14"/>
  <c r="AO382" i="14"/>
  <c r="AN382" i="14"/>
  <c r="AM382" i="14"/>
  <c r="AL39" i="14"/>
  <c r="AQ39" i="14"/>
  <c r="AP39" i="14"/>
  <c r="AO39" i="14"/>
  <c r="AN39" i="14"/>
  <c r="AM39" i="14"/>
  <c r="AQ199" i="14"/>
  <c r="AP199" i="14"/>
  <c r="AO199" i="14"/>
  <c r="AN199" i="14"/>
  <c r="AM199" i="14"/>
  <c r="AL199" i="14"/>
  <c r="AQ231" i="14"/>
  <c r="AP231" i="14"/>
  <c r="AO231" i="14"/>
  <c r="AN231" i="14"/>
  <c r="AM231" i="14"/>
  <c r="AL231" i="14"/>
  <c r="AC30" i="14"/>
  <c r="AR30" i="14" s="1"/>
  <c r="J9" i="3" s="1"/>
  <c r="AM253" i="14"/>
  <c r="AL253" i="14"/>
  <c r="AQ253" i="14"/>
  <c r="AP253" i="14"/>
  <c r="AO253" i="14"/>
  <c r="AN253" i="14"/>
  <c r="AM261" i="14"/>
  <c r="AL261" i="14"/>
  <c r="AQ261" i="14"/>
  <c r="AP261" i="14"/>
  <c r="AO261" i="14"/>
  <c r="AN261" i="14"/>
  <c r="AP269" i="14"/>
  <c r="AN269" i="14"/>
  <c r="AM269" i="14"/>
  <c r="AL269" i="14"/>
  <c r="AQ269" i="14"/>
  <c r="AO269" i="14"/>
  <c r="AP277" i="14"/>
  <c r="AQ277" i="14"/>
  <c r="AO277" i="14"/>
  <c r="AN277" i="14"/>
  <c r="AM277" i="14"/>
  <c r="AL277" i="14"/>
  <c r="AP285" i="14"/>
  <c r="AN285" i="14"/>
  <c r="AM285" i="14"/>
  <c r="AL285" i="14"/>
  <c r="AQ285" i="14"/>
  <c r="AO285" i="14"/>
  <c r="AP294" i="14"/>
  <c r="AL294" i="14"/>
  <c r="AQ294" i="14"/>
  <c r="AO294" i="14"/>
  <c r="AN294" i="14"/>
  <c r="AM294" i="14"/>
  <c r="AP310" i="14"/>
  <c r="AL310" i="14"/>
  <c r="AQ310" i="14"/>
  <c r="AO310" i="14"/>
  <c r="AN310" i="14"/>
  <c r="AM310" i="14"/>
  <c r="AP326" i="14"/>
  <c r="AL326" i="14"/>
  <c r="AP345" i="14"/>
  <c r="AL345" i="14"/>
  <c r="AQ345" i="14"/>
  <c r="AO345" i="14"/>
  <c r="AN345" i="14"/>
  <c r="AM345" i="14"/>
  <c r="AP361" i="14"/>
  <c r="AO361" i="14"/>
  <c r="AN361" i="14"/>
  <c r="AL361" i="14"/>
  <c r="AM361" i="14"/>
  <c r="AP377" i="14"/>
  <c r="AO377" i="14"/>
  <c r="AN377" i="14"/>
  <c r="AL377" i="14"/>
  <c r="AQ377" i="14"/>
  <c r="AM377" i="14"/>
  <c r="AQ215" i="14"/>
  <c r="AP215" i="14"/>
  <c r="AO215" i="14"/>
  <c r="AN215" i="14"/>
  <c r="AM215" i="14"/>
  <c r="AL215" i="14"/>
  <c r="AQ45" i="14"/>
  <c r="AP45" i="14"/>
  <c r="AO45" i="14"/>
  <c r="AN45" i="14"/>
  <c r="AM45" i="14"/>
  <c r="AL45" i="14"/>
  <c r="AC36" i="14"/>
  <c r="AR36" i="14" s="1"/>
  <c r="AC32" i="14"/>
  <c r="AR32" i="14" s="1"/>
  <c r="J11" i="3" s="1"/>
  <c r="AL91" i="14"/>
  <c r="AQ91" i="14"/>
  <c r="AP91" i="14"/>
  <c r="AO91" i="14"/>
  <c r="AN91" i="14"/>
  <c r="AM91" i="14"/>
  <c r="AL99" i="14"/>
  <c r="AQ99" i="14"/>
  <c r="AP99" i="14"/>
  <c r="AO99" i="14"/>
  <c r="AN99" i="14"/>
  <c r="AM99" i="14"/>
  <c r="AP107" i="14"/>
  <c r="AQ107" i="14"/>
  <c r="AO107" i="14"/>
  <c r="AN107" i="14"/>
  <c r="AM107" i="14"/>
  <c r="AL107" i="14"/>
  <c r="AP115" i="14"/>
  <c r="AO115" i="14"/>
  <c r="AN115" i="14"/>
  <c r="AL115" i="14"/>
  <c r="AQ115" i="14"/>
  <c r="AM115" i="14"/>
  <c r="AP123" i="14"/>
  <c r="AO123" i="14"/>
  <c r="AN123" i="14"/>
  <c r="AL123" i="14"/>
  <c r="AQ123" i="14"/>
  <c r="AM123" i="14"/>
  <c r="AQ131" i="14"/>
  <c r="AP131" i="14"/>
  <c r="AO131" i="14"/>
  <c r="AN131" i="14"/>
  <c r="AM131" i="14"/>
  <c r="AL131" i="14"/>
  <c r="AL291" i="14"/>
  <c r="AP291" i="14"/>
  <c r="AO291" i="14"/>
  <c r="AN291" i="14"/>
  <c r="AM291" i="14"/>
  <c r="AQ291" i="14"/>
  <c r="AL307" i="14"/>
  <c r="AN307" i="14"/>
  <c r="AM307" i="14"/>
  <c r="AQ307" i="14"/>
  <c r="AP307" i="14"/>
  <c r="AO307" i="14"/>
  <c r="AL323" i="14"/>
  <c r="AN323" i="14"/>
  <c r="AM323" i="14"/>
  <c r="AQ323" i="14"/>
  <c r="AP323" i="14"/>
  <c r="AO323" i="14"/>
  <c r="AP340" i="14"/>
  <c r="AN340" i="14"/>
  <c r="AL340" i="14"/>
  <c r="AQ340" i="14"/>
  <c r="AO340" i="14"/>
  <c r="AM340" i="14"/>
  <c r="AP356" i="14"/>
  <c r="AN356" i="14"/>
  <c r="AQ356" i="14"/>
  <c r="AO356" i="14"/>
  <c r="AM356" i="14"/>
  <c r="AL356" i="14"/>
  <c r="AP372" i="14"/>
  <c r="AN372" i="14"/>
  <c r="AQ372" i="14"/>
  <c r="AO372" i="14"/>
  <c r="AM372" i="14"/>
  <c r="AL372" i="14"/>
  <c r="AQ211" i="14"/>
  <c r="AP211" i="14"/>
  <c r="AO211" i="14"/>
  <c r="AN211" i="14"/>
  <c r="AM211" i="14"/>
  <c r="AL211" i="14"/>
  <c r="AQ80" i="14"/>
  <c r="AP80" i="14"/>
  <c r="AO80" i="14"/>
  <c r="AN80" i="14"/>
  <c r="AM80" i="14"/>
  <c r="AL80" i="14"/>
  <c r="AC35" i="14"/>
  <c r="AR35" i="14" s="1"/>
  <c r="P9" i="4"/>
  <c r="Y30" i="14" s="1"/>
  <c r="AL67" i="14"/>
  <c r="AQ67" i="14"/>
  <c r="AP67" i="14"/>
  <c r="AO67" i="14"/>
  <c r="AN67" i="14"/>
  <c r="AM67" i="14"/>
  <c r="AL83" i="14"/>
  <c r="AQ83" i="14"/>
  <c r="AP83" i="14"/>
  <c r="AO83" i="14"/>
  <c r="AN83" i="14"/>
  <c r="AM83" i="14"/>
  <c r="AQ190" i="14"/>
  <c r="AP190" i="14"/>
  <c r="AO190" i="14"/>
  <c r="AN190" i="14"/>
  <c r="AM190" i="14"/>
  <c r="AL190" i="14"/>
  <c r="AQ194" i="14"/>
  <c r="AP194" i="14"/>
  <c r="AO194" i="14"/>
  <c r="AN194" i="14"/>
  <c r="AM194" i="14"/>
  <c r="AL194" i="14"/>
  <c r="AQ198" i="14"/>
  <c r="AP198" i="14"/>
  <c r="AO198" i="14"/>
  <c r="AN198" i="14"/>
  <c r="AM198" i="14"/>
  <c r="AL198" i="14"/>
  <c r="AQ202" i="14"/>
  <c r="AP202" i="14"/>
  <c r="AO202" i="14"/>
  <c r="AN202" i="14"/>
  <c r="AM202" i="14"/>
  <c r="AL202" i="14"/>
  <c r="AQ206" i="14"/>
  <c r="AP206" i="14"/>
  <c r="AO206" i="14"/>
  <c r="AN206" i="14"/>
  <c r="AM206" i="14"/>
  <c r="AL206" i="14"/>
  <c r="AQ210" i="14"/>
  <c r="AP210" i="14"/>
  <c r="AO210" i="14"/>
  <c r="AN210" i="14"/>
  <c r="AM210" i="14"/>
  <c r="AL210" i="14"/>
  <c r="AQ214" i="14"/>
  <c r="AP214" i="14"/>
  <c r="AO214" i="14"/>
  <c r="AN214" i="14"/>
  <c r="AM214" i="14"/>
  <c r="AL214" i="14"/>
  <c r="AQ218" i="14"/>
  <c r="AP218" i="14"/>
  <c r="AO218" i="14"/>
  <c r="AN218" i="14"/>
  <c r="AM218" i="14"/>
  <c r="AL218" i="14"/>
  <c r="AQ222" i="14"/>
  <c r="AP222" i="14"/>
  <c r="AO222" i="14"/>
  <c r="AN222" i="14"/>
  <c r="AM222" i="14"/>
  <c r="AL222" i="14"/>
  <c r="AQ226" i="14"/>
  <c r="AP226" i="14"/>
  <c r="AO226" i="14"/>
  <c r="AN226" i="14"/>
  <c r="AM226" i="14"/>
  <c r="AL226" i="14"/>
  <c r="AM230" i="14"/>
  <c r="AL230" i="14"/>
  <c r="AQ230" i="14"/>
  <c r="AP230" i="14"/>
  <c r="AO230" i="14"/>
  <c r="AN230" i="14"/>
  <c r="AO234" i="14"/>
  <c r="AN234" i="14"/>
  <c r="AM234" i="14"/>
  <c r="AL234" i="14"/>
  <c r="AQ234" i="14"/>
  <c r="AP234" i="14"/>
  <c r="G12" i="9"/>
  <c r="G20" i="9"/>
  <c r="AN288" i="14"/>
  <c r="AQ288" i="14"/>
  <c r="AP288" i="14"/>
  <c r="AO288" i="14"/>
  <c r="AL288" i="14"/>
  <c r="AM288" i="14"/>
  <c r="AQ304" i="14"/>
  <c r="AO304" i="14"/>
  <c r="AM304" i="14"/>
  <c r="AL304" i="14"/>
  <c r="AP320" i="14"/>
  <c r="AN320" i="14"/>
  <c r="AQ320" i="14"/>
  <c r="AO320" i="14"/>
  <c r="AM320" i="14"/>
  <c r="AL320" i="14"/>
  <c r="AL351" i="14"/>
  <c r="AQ351" i="14"/>
  <c r="AP351" i="14"/>
  <c r="AO351" i="14"/>
  <c r="AN351" i="14"/>
  <c r="AM351" i="14"/>
  <c r="AM367" i="14"/>
  <c r="AL367" i="14"/>
  <c r="AQ367" i="14"/>
  <c r="AP367" i="14"/>
  <c r="AO367" i="14"/>
  <c r="AN367" i="14"/>
  <c r="AM383" i="14"/>
  <c r="AL383" i="14"/>
  <c r="AQ383" i="14"/>
  <c r="AP383" i="14"/>
  <c r="AO383" i="14"/>
  <c r="AN383" i="14"/>
  <c r="AL55" i="14"/>
  <c r="AQ55" i="14"/>
  <c r="AP55" i="14"/>
  <c r="AO55" i="14"/>
  <c r="AN55" i="14"/>
  <c r="AM55" i="14"/>
  <c r="AQ191" i="14"/>
  <c r="AP191" i="14"/>
  <c r="AO191" i="14"/>
  <c r="AN191" i="14"/>
  <c r="AM191" i="14"/>
  <c r="AL191" i="14"/>
  <c r="AO227" i="14"/>
  <c r="AN227" i="14"/>
  <c r="AM227" i="14"/>
  <c r="AL227" i="14"/>
  <c r="AQ64" i="14"/>
  <c r="AP64" i="14"/>
  <c r="AO64" i="14"/>
  <c r="AN64" i="14"/>
  <c r="AM64" i="14"/>
  <c r="AL64" i="14"/>
  <c r="P14" i="4"/>
  <c r="Y35" i="14" s="1"/>
  <c r="I15" i="3"/>
  <c r="AL51" i="14"/>
  <c r="AQ51" i="14"/>
  <c r="AP51" i="14"/>
  <c r="AO51" i="14"/>
  <c r="AN51" i="14"/>
  <c r="AM51" i="14"/>
  <c r="AP94" i="14"/>
  <c r="AO94" i="14"/>
  <c r="AN94" i="14"/>
  <c r="AM94" i="14"/>
  <c r="AL94" i="14"/>
  <c r="AQ94" i="14"/>
  <c r="AP102" i="14"/>
  <c r="AO102" i="14"/>
  <c r="AN102" i="14"/>
  <c r="AM102" i="14"/>
  <c r="AL102" i="14"/>
  <c r="AQ102" i="14"/>
  <c r="AP110" i="14"/>
  <c r="AN110" i="14"/>
  <c r="AO110" i="14"/>
  <c r="AM110" i="14"/>
  <c r="AL110" i="14"/>
  <c r="AQ110" i="14"/>
  <c r="AP118" i="14"/>
  <c r="AN118" i="14"/>
  <c r="AL118" i="14"/>
  <c r="AQ118" i="14"/>
  <c r="AO118" i="14"/>
  <c r="AM118" i="14"/>
  <c r="AQ126" i="14"/>
  <c r="AP126" i="14"/>
  <c r="AO126" i="14"/>
  <c r="AN126" i="14"/>
  <c r="AM126" i="14"/>
  <c r="AL126" i="14"/>
  <c r="AQ134" i="14"/>
  <c r="AP134" i="14"/>
  <c r="AO134" i="14"/>
  <c r="AN134" i="14"/>
  <c r="AM134" i="14"/>
  <c r="AL134" i="14"/>
  <c r="AP301" i="14"/>
  <c r="AL301" i="14"/>
  <c r="AQ301" i="14"/>
  <c r="AO301" i="14"/>
  <c r="AM301" i="14"/>
  <c r="AN301" i="14"/>
  <c r="AP317" i="14"/>
  <c r="AL317" i="14"/>
  <c r="AQ317" i="14"/>
  <c r="AO317" i="14"/>
  <c r="AN317" i="14"/>
  <c r="AM317" i="14"/>
  <c r="AP333" i="14"/>
  <c r="AL333" i="14"/>
  <c r="AQ333" i="14"/>
  <c r="AO333" i="14"/>
  <c r="AN333" i="14"/>
  <c r="AM333" i="14"/>
  <c r="AP346" i="14"/>
  <c r="AL346" i="14"/>
  <c r="AQ346" i="14"/>
  <c r="AO346" i="14"/>
  <c r="AN346" i="14"/>
  <c r="AM346" i="14"/>
  <c r="AQ362" i="14"/>
  <c r="AP362" i="14"/>
  <c r="AL362" i="14"/>
  <c r="AN362" i="14"/>
  <c r="AM362" i="14"/>
  <c r="AO362" i="14"/>
  <c r="AQ378" i="14"/>
  <c r="AP378" i="14"/>
  <c r="AL378" i="14"/>
  <c r="AO378" i="14"/>
  <c r="AN378" i="14"/>
  <c r="AM378" i="14"/>
  <c r="AL71" i="14"/>
  <c r="AQ71" i="14"/>
  <c r="AP71" i="14"/>
  <c r="AO71" i="14"/>
  <c r="AN71" i="14"/>
  <c r="AM71" i="14"/>
  <c r="AC238" i="14"/>
  <c r="AR238" i="14" s="1"/>
  <c r="AQ57" i="14"/>
  <c r="AP57" i="14"/>
  <c r="AO57" i="14"/>
  <c r="AN57" i="14"/>
  <c r="AM57" i="14"/>
  <c r="AL57" i="14"/>
  <c r="AQ77" i="14"/>
  <c r="AP77" i="14"/>
  <c r="AO77" i="14"/>
  <c r="AN77" i="14"/>
  <c r="AM77" i="14"/>
  <c r="AL77" i="14"/>
  <c r="AC33" i="14"/>
  <c r="AR33" i="14" s="1"/>
  <c r="AQ53" i="14"/>
  <c r="AP53" i="14"/>
  <c r="AO53" i="14"/>
  <c r="AN53" i="14"/>
  <c r="AM53" i="14"/>
  <c r="AL53" i="14"/>
  <c r="AQ69" i="14"/>
  <c r="AP69" i="14"/>
  <c r="AO69" i="14"/>
  <c r="AN69" i="14"/>
  <c r="AM69" i="14"/>
  <c r="AL69" i="14"/>
  <c r="AQ85" i="14"/>
  <c r="AP85" i="14"/>
  <c r="AO85" i="14"/>
  <c r="AN85" i="14"/>
  <c r="AM85" i="14"/>
  <c r="AL85" i="14"/>
  <c r="G15" i="9"/>
  <c r="AP298" i="14"/>
  <c r="AL298" i="14"/>
  <c r="AQ298" i="14"/>
  <c r="AO298" i="14"/>
  <c r="AN298" i="14"/>
  <c r="AM298" i="14"/>
  <c r="AP314" i="14"/>
  <c r="AL314" i="14"/>
  <c r="AQ314" i="14"/>
  <c r="AO314" i="14"/>
  <c r="AN314" i="14"/>
  <c r="AM314" i="14"/>
  <c r="AP330" i="14"/>
  <c r="AL330" i="14"/>
  <c r="AQ330" i="14"/>
  <c r="AO330" i="14"/>
  <c r="AN330" i="14"/>
  <c r="AM330" i="14"/>
  <c r="AP341" i="14"/>
  <c r="AL341" i="14"/>
  <c r="AQ341" i="14"/>
  <c r="AO341" i="14"/>
  <c r="AN341" i="14"/>
  <c r="AM341" i="14"/>
  <c r="AP357" i="14"/>
  <c r="AO357" i="14"/>
  <c r="AN357" i="14"/>
  <c r="AL357" i="14"/>
  <c r="AQ357" i="14"/>
  <c r="AM357" i="14"/>
  <c r="AP373" i="14"/>
  <c r="AO373" i="14"/>
  <c r="AN373" i="14"/>
  <c r="AL373" i="14"/>
  <c r="AQ373" i="14"/>
  <c r="AM373" i="14"/>
  <c r="AQ219" i="14"/>
  <c r="AP219" i="14"/>
  <c r="AO219" i="14"/>
  <c r="AN219" i="14"/>
  <c r="AM219" i="14"/>
  <c r="AL219" i="14"/>
  <c r="AQ89" i="14"/>
  <c r="AP89" i="14"/>
  <c r="AO89" i="14"/>
  <c r="AN89" i="14"/>
  <c r="AM89" i="14"/>
  <c r="AL89" i="14"/>
  <c r="AQ97" i="14"/>
  <c r="AP97" i="14"/>
  <c r="AO97" i="14"/>
  <c r="AN97" i="14"/>
  <c r="AM97" i="14"/>
  <c r="AL97" i="14"/>
  <c r="AN105" i="14"/>
  <c r="AQ105" i="14"/>
  <c r="AP105" i="14"/>
  <c r="AO105" i="14"/>
  <c r="AM105" i="14"/>
  <c r="AL105" i="14"/>
  <c r="AN113" i="14"/>
  <c r="AL113" i="14"/>
  <c r="AO113" i="14"/>
  <c r="AM113" i="14"/>
  <c r="AQ113" i="14"/>
  <c r="AP113" i="14"/>
  <c r="AN121" i="14"/>
  <c r="AL121" i="14"/>
  <c r="AO121" i="14"/>
  <c r="AM121" i="14"/>
  <c r="AQ121" i="14"/>
  <c r="AP121" i="14"/>
  <c r="AO129" i="14"/>
  <c r="AN129" i="14"/>
  <c r="AM129" i="14"/>
  <c r="AL129" i="14"/>
  <c r="AQ129" i="14"/>
  <c r="AP129" i="14"/>
  <c r="AC137" i="14"/>
  <c r="AR137" i="14" s="1"/>
  <c r="AQ139" i="14"/>
  <c r="AP139" i="14"/>
  <c r="AO139" i="14"/>
  <c r="AN139" i="14"/>
  <c r="AM139" i="14"/>
  <c r="AL139" i="14"/>
  <c r="AO141" i="14"/>
  <c r="AN141" i="14"/>
  <c r="AM141" i="14"/>
  <c r="AL141" i="14"/>
  <c r="AQ141" i="14"/>
  <c r="AP141" i="14"/>
  <c r="AQ143" i="14"/>
  <c r="AP143" i="14"/>
  <c r="AO143" i="14"/>
  <c r="AN143" i="14"/>
  <c r="AM143" i="14"/>
  <c r="AL143" i="14"/>
  <c r="AO145" i="14"/>
  <c r="AN145" i="14"/>
  <c r="AM145" i="14"/>
  <c r="AL145" i="14"/>
  <c r="AQ145" i="14"/>
  <c r="AP145" i="14"/>
  <c r="AQ147" i="14"/>
  <c r="AP147" i="14"/>
  <c r="AO147" i="14"/>
  <c r="AN147" i="14"/>
  <c r="AM147" i="14"/>
  <c r="AL147" i="14"/>
  <c r="AO149" i="14"/>
  <c r="AN149" i="14"/>
  <c r="AM149" i="14"/>
  <c r="AL149" i="14"/>
  <c r="AQ149" i="14"/>
  <c r="AP149" i="14"/>
  <c r="AQ151" i="14"/>
  <c r="AP151" i="14"/>
  <c r="AO151" i="14"/>
  <c r="AN151" i="14"/>
  <c r="AM151" i="14"/>
  <c r="AL151" i="14"/>
  <c r="AO153" i="14"/>
  <c r="AN153" i="14"/>
  <c r="AM153" i="14"/>
  <c r="AL153" i="14"/>
  <c r="AQ153" i="14"/>
  <c r="AP153" i="14"/>
  <c r="AQ155" i="14"/>
  <c r="AP155" i="14"/>
  <c r="AO155" i="14"/>
  <c r="AN155" i="14"/>
  <c r="AM155" i="14"/>
  <c r="AL155" i="14"/>
  <c r="AO157" i="14"/>
  <c r="AN157" i="14"/>
  <c r="AM157" i="14"/>
  <c r="AL157" i="14"/>
  <c r="AQ157" i="14"/>
  <c r="AP157" i="14"/>
  <c r="AQ159" i="14"/>
  <c r="AP159" i="14"/>
  <c r="AO159" i="14"/>
  <c r="AN159" i="14"/>
  <c r="AM159" i="14"/>
  <c r="AL159" i="14"/>
  <c r="AO161" i="14"/>
  <c r="AN161" i="14"/>
  <c r="AM161" i="14"/>
  <c r="AL161" i="14"/>
  <c r="AQ161" i="14"/>
  <c r="AP161" i="14"/>
  <c r="AQ163" i="14"/>
  <c r="AP163" i="14"/>
  <c r="AO163" i="14"/>
  <c r="AN163" i="14"/>
  <c r="AM163" i="14"/>
  <c r="AL163" i="14"/>
  <c r="AO165" i="14"/>
  <c r="AN165" i="14"/>
  <c r="AM165" i="14"/>
  <c r="AL165" i="14"/>
  <c r="AQ165" i="14"/>
  <c r="AP165" i="14"/>
  <c r="AQ167" i="14"/>
  <c r="AP167" i="14"/>
  <c r="AO167" i="14"/>
  <c r="AN167" i="14"/>
  <c r="AM167" i="14"/>
  <c r="AL167" i="14"/>
  <c r="AO169" i="14"/>
  <c r="AN169" i="14"/>
  <c r="AM169" i="14"/>
  <c r="AL169" i="14"/>
  <c r="AQ169" i="14"/>
  <c r="AP169" i="14"/>
  <c r="AQ171" i="14"/>
  <c r="AP171" i="14"/>
  <c r="AO171" i="14"/>
  <c r="AN171" i="14"/>
  <c r="AM171" i="14"/>
  <c r="AL171" i="14"/>
  <c r="AO173" i="14"/>
  <c r="AN173" i="14"/>
  <c r="AM173" i="14"/>
  <c r="AL173" i="14"/>
  <c r="AQ173" i="14"/>
  <c r="AP173" i="14"/>
  <c r="AQ175" i="14"/>
  <c r="AP175" i="14"/>
  <c r="AO175" i="14"/>
  <c r="AN175" i="14"/>
  <c r="AM175" i="14"/>
  <c r="AL175" i="14"/>
  <c r="AO177" i="14"/>
  <c r="AN177" i="14"/>
  <c r="AM177" i="14"/>
  <c r="AL177" i="14"/>
  <c r="AQ177" i="14"/>
  <c r="AP177" i="14"/>
  <c r="AQ179" i="14"/>
  <c r="AP179" i="14"/>
  <c r="AO179" i="14"/>
  <c r="AN179" i="14"/>
  <c r="AM179" i="14"/>
  <c r="AL179" i="14"/>
  <c r="AO181" i="14"/>
  <c r="AN181" i="14"/>
  <c r="AM181" i="14"/>
  <c r="AL181" i="14"/>
  <c r="AQ181" i="14"/>
  <c r="AP181" i="14"/>
  <c r="AQ183" i="14"/>
  <c r="AP183" i="14"/>
  <c r="AO183" i="14"/>
  <c r="AN183" i="14"/>
  <c r="AM183" i="14"/>
  <c r="AL183" i="14"/>
  <c r="AO185" i="14"/>
  <c r="AN185" i="14"/>
  <c r="AM185" i="14"/>
  <c r="AL185" i="14"/>
  <c r="AQ185" i="14"/>
  <c r="AP185" i="14"/>
  <c r="F9" i="8"/>
  <c r="Y187" i="14" s="1"/>
  <c r="F10" i="9"/>
  <c r="Y238" i="14" s="1"/>
  <c r="AL295" i="14"/>
  <c r="AQ295" i="14"/>
  <c r="AP295" i="14"/>
  <c r="AO295" i="14"/>
  <c r="AN295" i="14"/>
  <c r="AM295" i="14"/>
  <c r="AL311" i="14"/>
  <c r="AQ311" i="14"/>
  <c r="AP311" i="14"/>
  <c r="AO311" i="14"/>
  <c r="AN311" i="14"/>
  <c r="AM311" i="14"/>
  <c r="AL327" i="14"/>
  <c r="AQ327" i="14"/>
  <c r="AP327" i="14"/>
  <c r="AO327" i="14"/>
  <c r="AN327" i="14"/>
  <c r="AM327" i="14"/>
  <c r="AP352" i="14"/>
  <c r="AN352" i="14"/>
  <c r="AQ352" i="14"/>
  <c r="AO352" i="14"/>
  <c r="AM352" i="14"/>
  <c r="AL352" i="14"/>
  <c r="AP368" i="14"/>
  <c r="AN368" i="14"/>
  <c r="AQ368" i="14"/>
  <c r="AO368" i="14"/>
  <c r="AM368" i="14"/>
  <c r="AL368" i="14"/>
  <c r="AP384" i="14"/>
  <c r="AN384" i="14"/>
  <c r="AO384" i="14"/>
  <c r="AM384" i="14"/>
  <c r="AL384" i="14"/>
  <c r="AQ384" i="14"/>
  <c r="G18" i="9"/>
  <c r="H18" i="9" s="1"/>
  <c r="AD246" i="14" s="1"/>
  <c r="AM254" i="14"/>
  <c r="AL254" i="14"/>
  <c r="AQ254" i="14"/>
  <c r="AP254" i="14"/>
  <c r="AO254" i="14"/>
  <c r="AN254" i="14"/>
  <c r="AM262" i="14"/>
  <c r="AL262" i="14"/>
  <c r="AQ262" i="14"/>
  <c r="AP262" i="14"/>
  <c r="AO262" i="14"/>
  <c r="AN262" i="14"/>
  <c r="AL270" i="14"/>
  <c r="AQ270" i="14"/>
  <c r="AP270" i="14"/>
  <c r="AO270" i="14"/>
  <c r="AN270" i="14"/>
  <c r="AM270" i="14"/>
  <c r="AL278" i="14"/>
  <c r="AQ278" i="14"/>
  <c r="AP278" i="14"/>
  <c r="AO278" i="14"/>
  <c r="AN278" i="14"/>
  <c r="AM278" i="14"/>
  <c r="AP286" i="14"/>
  <c r="AL286" i="14"/>
  <c r="AO286" i="14"/>
  <c r="AQ286" i="14"/>
  <c r="AN286" i="14"/>
  <c r="AM286" i="14"/>
  <c r="AN292" i="14"/>
  <c r="AM292" i="14"/>
  <c r="AL292" i="14"/>
  <c r="AQ292" i="14"/>
  <c r="AP292" i="14"/>
  <c r="AO292" i="14"/>
  <c r="AP308" i="14"/>
  <c r="AN308" i="14"/>
  <c r="AQ308" i="14"/>
  <c r="AO308" i="14"/>
  <c r="AM308" i="14"/>
  <c r="AL308" i="14"/>
  <c r="AP324" i="14"/>
  <c r="AN324" i="14"/>
  <c r="AQ324" i="14"/>
  <c r="AO324" i="14"/>
  <c r="AM324" i="14"/>
  <c r="AL324" i="14"/>
  <c r="AL347" i="14"/>
  <c r="AO347" i="14"/>
  <c r="AN347" i="14"/>
  <c r="AM347" i="14"/>
  <c r="AQ347" i="14"/>
  <c r="AP347" i="14"/>
  <c r="AM363" i="14"/>
  <c r="AL363" i="14"/>
  <c r="AN363" i="14"/>
  <c r="AQ363" i="14"/>
  <c r="AP363" i="14"/>
  <c r="AO363" i="14"/>
  <c r="AM379" i="14"/>
  <c r="AL379" i="14"/>
  <c r="AQ379" i="14"/>
  <c r="AP379" i="14"/>
  <c r="AO379" i="14"/>
  <c r="AN379" i="14"/>
  <c r="AQ92" i="14"/>
  <c r="AP92" i="14"/>
  <c r="AO92" i="14"/>
  <c r="AN92" i="14"/>
  <c r="AM92" i="14"/>
  <c r="AL92" i="14"/>
  <c r="AQ100" i="14"/>
  <c r="AP100" i="14"/>
  <c r="AO100" i="14"/>
  <c r="AN100" i="14"/>
  <c r="AM100" i="14"/>
  <c r="AL100" i="14"/>
  <c r="AN108" i="14"/>
  <c r="AL108" i="14"/>
  <c r="AQ108" i="14"/>
  <c r="AP108" i="14"/>
  <c r="AO108" i="14"/>
  <c r="AM108" i="14"/>
  <c r="AP116" i="14"/>
  <c r="AN116" i="14"/>
  <c r="AL116" i="14"/>
  <c r="AO116" i="14"/>
  <c r="AM116" i="14"/>
  <c r="AQ116" i="14"/>
  <c r="AP124" i="14"/>
  <c r="AN124" i="14"/>
  <c r="AL124" i="14"/>
  <c r="AO124" i="14"/>
  <c r="AM124" i="14"/>
  <c r="AQ124" i="14"/>
  <c r="AQ132" i="14"/>
  <c r="AP132" i="14"/>
  <c r="AO132" i="14"/>
  <c r="AN132" i="14"/>
  <c r="AM132" i="14"/>
  <c r="AL132" i="14"/>
  <c r="H9" i="8"/>
  <c r="AD187" i="14" s="1"/>
  <c r="AP289" i="14"/>
  <c r="AQ289" i="14"/>
  <c r="AO289" i="14"/>
  <c r="AN289" i="14"/>
  <c r="AM289" i="14"/>
  <c r="AL289" i="14"/>
  <c r="AP305" i="14"/>
  <c r="AL305" i="14"/>
  <c r="AQ305" i="14"/>
  <c r="AO305" i="14"/>
  <c r="AN305" i="14"/>
  <c r="AM305" i="14"/>
  <c r="AP321" i="14"/>
  <c r="AL321" i="14"/>
  <c r="AQ321" i="14"/>
  <c r="AO321" i="14"/>
  <c r="AN321" i="14"/>
  <c r="AM321" i="14"/>
  <c r="AP342" i="14"/>
  <c r="AL342" i="14"/>
  <c r="AQ342" i="14"/>
  <c r="AO342" i="14"/>
  <c r="AN342" i="14"/>
  <c r="AM342" i="14"/>
  <c r="AQ358" i="14"/>
  <c r="AP358" i="14"/>
  <c r="AL358" i="14"/>
  <c r="AO358" i="14"/>
  <c r="AN358" i="14"/>
  <c r="AM358" i="14"/>
  <c r="AQ374" i="14"/>
  <c r="AP374" i="14"/>
  <c r="AL374" i="14"/>
  <c r="AO374" i="14"/>
  <c r="AN374" i="14"/>
  <c r="AM374" i="14"/>
  <c r="AC337" i="14"/>
  <c r="AR337" i="14" s="1"/>
  <c r="AP353" i="14"/>
  <c r="AN353" i="14"/>
  <c r="AL353" i="14"/>
  <c r="AQ353" i="14"/>
  <c r="AO353" i="14"/>
  <c r="AM353" i="14"/>
  <c r="AP369" i="14"/>
  <c r="AO369" i="14"/>
  <c r="AN369" i="14"/>
  <c r="AL369" i="14"/>
  <c r="AQ369" i="14"/>
  <c r="AM369" i="14"/>
  <c r="AP385" i="14"/>
  <c r="AO385" i="14"/>
  <c r="AN385" i="14"/>
  <c r="AL385" i="14"/>
  <c r="AQ385" i="14"/>
  <c r="AM385" i="14"/>
  <c r="AQ223" i="14"/>
  <c r="AP223" i="14"/>
  <c r="AO223" i="14"/>
  <c r="AN223" i="14"/>
  <c r="AM223" i="14"/>
  <c r="AL223" i="14"/>
  <c r="G13" i="9"/>
  <c r="AM249" i="14"/>
  <c r="AQ249" i="14"/>
  <c r="AP249" i="14"/>
  <c r="AO249" i="14"/>
  <c r="AN249" i="14"/>
  <c r="AL249" i="14"/>
  <c r="AM257" i="14"/>
  <c r="AL257" i="14"/>
  <c r="AQ257" i="14"/>
  <c r="AP257" i="14"/>
  <c r="AO257" i="14"/>
  <c r="AN257" i="14"/>
  <c r="AM265" i="14"/>
  <c r="AL265" i="14"/>
  <c r="AQ265" i="14"/>
  <c r="AP265" i="14"/>
  <c r="AO265" i="14"/>
  <c r="AN265" i="14"/>
  <c r="AP273" i="14"/>
  <c r="AQ273" i="14"/>
  <c r="AO273" i="14"/>
  <c r="AN273" i="14"/>
  <c r="AM273" i="14"/>
  <c r="AL273" i="14"/>
  <c r="AP281" i="14"/>
  <c r="AO281" i="14"/>
  <c r="AM281" i="14"/>
  <c r="AQ281" i="14"/>
  <c r="AN281" i="14"/>
  <c r="AL281" i="14"/>
  <c r="AP302" i="14"/>
  <c r="AL302" i="14"/>
  <c r="AQ302" i="14"/>
  <c r="AO302" i="14"/>
  <c r="AN302" i="14"/>
  <c r="AM302" i="14"/>
  <c r="AP318" i="14"/>
  <c r="AL318" i="14"/>
  <c r="AQ318" i="14"/>
  <c r="AO318" i="14"/>
  <c r="AN318" i="14"/>
  <c r="AM318" i="14"/>
  <c r="AP334" i="14"/>
  <c r="AL334" i="14"/>
  <c r="AQ334" i="14"/>
  <c r="AO334" i="14"/>
  <c r="AN334" i="14"/>
  <c r="AM334" i="14"/>
  <c r="AI87" i="14"/>
  <c r="AL95" i="14"/>
  <c r="AQ95" i="14"/>
  <c r="AP95" i="14"/>
  <c r="AO95" i="14"/>
  <c r="AN95" i="14"/>
  <c r="AM95" i="14"/>
  <c r="AL103" i="14"/>
  <c r="AQ103" i="14"/>
  <c r="AP103" i="14"/>
  <c r="AO103" i="14"/>
  <c r="AN103" i="14"/>
  <c r="AM103" i="14"/>
  <c r="AP111" i="14"/>
  <c r="AN111" i="14"/>
  <c r="AL111" i="14"/>
  <c r="AO111" i="14"/>
  <c r="AM111" i="14"/>
  <c r="AQ111" i="14"/>
  <c r="AP119" i="14"/>
  <c r="AO119" i="14"/>
  <c r="AN119" i="14"/>
  <c r="AL119" i="14"/>
  <c r="AQ119" i="14"/>
  <c r="AM119" i="14"/>
  <c r="AQ127" i="14"/>
  <c r="AP127" i="14"/>
  <c r="AO127" i="14"/>
  <c r="AN127" i="14"/>
  <c r="AM127" i="14"/>
  <c r="AL127" i="14"/>
  <c r="AQ135" i="14"/>
  <c r="AP135" i="14"/>
  <c r="AO135" i="14"/>
  <c r="AN135" i="14"/>
  <c r="AM135" i="14"/>
  <c r="AL135" i="14"/>
  <c r="F16" i="9"/>
  <c r="Y244" i="14" s="1"/>
  <c r="AL299" i="14"/>
  <c r="AN299" i="14"/>
  <c r="AM299" i="14"/>
  <c r="AQ299" i="14"/>
  <c r="AP299" i="14"/>
  <c r="AO299" i="14"/>
  <c r="AL315" i="14"/>
  <c r="AN315" i="14"/>
  <c r="AM315" i="14"/>
  <c r="AQ315" i="14"/>
  <c r="AP315" i="14"/>
  <c r="AO315" i="14"/>
  <c r="AM331" i="14"/>
  <c r="AP348" i="14"/>
  <c r="AN348" i="14"/>
  <c r="AL348" i="14"/>
  <c r="AQ348" i="14"/>
  <c r="AO348" i="14"/>
  <c r="AM348" i="14"/>
  <c r="AP364" i="14"/>
  <c r="AN364" i="14"/>
  <c r="AQ364" i="14"/>
  <c r="AO364" i="14"/>
  <c r="AM364" i="14"/>
  <c r="AL364" i="14"/>
  <c r="AP380" i="14"/>
  <c r="AN380" i="14"/>
  <c r="AQ380" i="14"/>
  <c r="AO380" i="14"/>
  <c r="AM380" i="14"/>
  <c r="AL380" i="14"/>
  <c r="AQ207" i="14"/>
  <c r="AP207" i="14"/>
  <c r="AO207" i="14"/>
  <c r="AN207" i="14"/>
  <c r="AM207" i="14"/>
  <c r="AL207" i="14"/>
  <c r="AQ41" i="14"/>
  <c r="AP41" i="14"/>
  <c r="AO41" i="14"/>
  <c r="AN41" i="14"/>
  <c r="AM41" i="14"/>
  <c r="AL41" i="14"/>
  <c r="AL43" i="14"/>
  <c r="AQ43" i="14"/>
  <c r="AP43" i="14"/>
  <c r="AO43" i="14"/>
  <c r="AN43" i="14"/>
  <c r="AM43" i="14"/>
  <c r="AL59" i="14"/>
  <c r="AQ59" i="14"/>
  <c r="AP59" i="14"/>
  <c r="AO59" i="14"/>
  <c r="AN59" i="14"/>
  <c r="AM59" i="14"/>
  <c r="AL75" i="14"/>
  <c r="AQ75" i="14"/>
  <c r="AP75" i="14"/>
  <c r="AO75" i="14"/>
  <c r="AN75" i="14"/>
  <c r="AM75" i="14"/>
  <c r="AQ188" i="14"/>
  <c r="AP188" i="14"/>
  <c r="AO188" i="14"/>
  <c r="AN188" i="14"/>
  <c r="AM188" i="14"/>
  <c r="AL188" i="14"/>
  <c r="AQ192" i="14"/>
  <c r="AP192" i="14"/>
  <c r="AO192" i="14"/>
  <c r="AN192" i="14"/>
  <c r="AM192" i="14"/>
  <c r="AL192" i="14"/>
  <c r="AQ196" i="14"/>
  <c r="AP196" i="14"/>
  <c r="AO196" i="14"/>
  <c r="AN196" i="14"/>
  <c r="AM196" i="14"/>
  <c r="AL196" i="14"/>
  <c r="AQ200" i="14"/>
  <c r="AP200" i="14"/>
  <c r="AO200" i="14"/>
  <c r="AN200" i="14"/>
  <c r="AM200" i="14"/>
  <c r="AL200" i="14"/>
  <c r="AQ204" i="14"/>
  <c r="AP204" i="14"/>
  <c r="AO204" i="14"/>
  <c r="AN204" i="14"/>
  <c r="AM204" i="14"/>
  <c r="AL204" i="14"/>
  <c r="AQ208" i="14"/>
  <c r="AP208" i="14"/>
  <c r="AO208" i="14"/>
  <c r="AN208" i="14"/>
  <c r="AM208" i="14"/>
  <c r="AL208" i="14"/>
  <c r="AQ212" i="14"/>
  <c r="AP212" i="14"/>
  <c r="AO212" i="14"/>
  <c r="AN212" i="14"/>
  <c r="AM212" i="14"/>
  <c r="AL212" i="14"/>
  <c r="AQ216" i="14"/>
  <c r="AP216" i="14"/>
  <c r="AO216" i="14"/>
  <c r="AN216" i="14"/>
  <c r="AM216" i="14"/>
  <c r="AL216" i="14"/>
  <c r="AQ220" i="14"/>
  <c r="AP220" i="14"/>
  <c r="AO220" i="14"/>
  <c r="AN220" i="14"/>
  <c r="AM220" i="14"/>
  <c r="AL220" i="14"/>
  <c r="AQ224" i="14"/>
  <c r="AP224" i="14"/>
  <c r="AO224" i="14"/>
  <c r="AN224" i="14"/>
  <c r="AM224" i="14"/>
  <c r="AL224" i="14"/>
  <c r="AQ228" i="14"/>
  <c r="AP228" i="14"/>
  <c r="AO228" i="14"/>
  <c r="AN228" i="14"/>
  <c r="AM228" i="14"/>
  <c r="AL228" i="14"/>
  <c r="AQ232" i="14"/>
  <c r="AP232" i="14"/>
  <c r="AO232" i="14"/>
  <c r="AN232" i="14"/>
  <c r="AM232" i="14"/>
  <c r="AL232" i="14"/>
  <c r="AQ236" i="14"/>
  <c r="AP236" i="14"/>
  <c r="AO236" i="14"/>
  <c r="AN236" i="14"/>
  <c r="AM236" i="14"/>
  <c r="AL236" i="14"/>
  <c r="AC244" i="14"/>
  <c r="AR244" i="14" s="1"/>
  <c r="AQ252" i="14"/>
  <c r="AP252" i="14"/>
  <c r="AN252" i="14"/>
  <c r="AO252" i="14"/>
  <c r="AM252" i="14"/>
  <c r="AL252" i="14"/>
  <c r="AQ260" i="14"/>
  <c r="AP260" i="14"/>
  <c r="AN260" i="14"/>
  <c r="AL260" i="14"/>
  <c r="AO260" i="14"/>
  <c r="AM260" i="14"/>
  <c r="AN268" i="14"/>
  <c r="AQ268" i="14"/>
  <c r="AP268" i="14"/>
  <c r="AO268" i="14"/>
  <c r="AM268" i="14"/>
  <c r="AL268" i="14"/>
  <c r="AN276" i="14"/>
  <c r="AQ276" i="14"/>
  <c r="AO276" i="14"/>
  <c r="AL276" i="14"/>
  <c r="AP276" i="14"/>
  <c r="AM276" i="14"/>
  <c r="AN284" i="14"/>
  <c r="AQ284" i="14"/>
  <c r="AP284" i="14"/>
  <c r="AO284" i="14"/>
  <c r="AM284" i="14"/>
  <c r="AL284" i="14"/>
  <c r="AP296" i="14"/>
  <c r="AN296" i="14"/>
  <c r="AQ296" i="14"/>
  <c r="AO296" i="14"/>
  <c r="AM296" i="14"/>
  <c r="AL296" i="14"/>
  <c r="AP312" i="14"/>
  <c r="AN312" i="14"/>
  <c r="AQ312" i="14"/>
  <c r="AO312" i="14"/>
  <c r="AM312" i="14"/>
  <c r="AL312" i="14"/>
  <c r="AP328" i="14"/>
  <c r="AN328" i="14"/>
  <c r="AQ328" i="14"/>
  <c r="AO328" i="14"/>
  <c r="AM328" i="14"/>
  <c r="AL328" i="14"/>
  <c r="AL343" i="14"/>
  <c r="AQ343" i="14"/>
  <c r="AP343" i="14"/>
  <c r="AO343" i="14"/>
  <c r="AN343" i="14"/>
  <c r="AM343" i="14"/>
  <c r="AM359" i="14"/>
  <c r="AL359" i="14"/>
  <c r="AP359" i="14"/>
  <c r="AO359" i="14"/>
  <c r="AN359" i="14"/>
  <c r="AQ359" i="14"/>
  <c r="AM375" i="14"/>
  <c r="AL375" i="14"/>
  <c r="AQ375" i="14"/>
  <c r="AP375" i="14"/>
  <c r="AO375" i="14"/>
  <c r="AN375" i="14"/>
  <c r="AP90" i="14"/>
  <c r="AO90" i="14"/>
  <c r="AN90" i="14"/>
  <c r="AM90" i="14"/>
  <c r="AL90" i="14"/>
  <c r="AQ90" i="14"/>
  <c r="AP98" i="14"/>
  <c r="AO98" i="14"/>
  <c r="AN98" i="14"/>
  <c r="AM98" i="14"/>
  <c r="AL98" i="14"/>
  <c r="AQ98" i="14"/>
  <c r="AN106" i="14"/>
  <c r="AQ106" i="14"/>
  <c r="AP106" i="14"/>
  <c r="AO106" i="14"/>
  <c r="AM106" i="14"/>
  <c r="AL106" i="14"/>
  <c r="AP114" i="14"/>
  <c r="AN114" i="14"/>
  <c r="AL114" i="14"/>
  <c r="AQ114" i="14"/>
  <c r="AO114" i="14"/>
  <c r="AM114" i="14"/>
  <c r="AP122" i="14"/>
  <c r="AN122" i="14"/>
  <c r="AL122" i="14"/>
  <c r="AQ122" i="14"/>
  <c r="AO122" i="14"/>
  <c r="AM122" i="14"/>
  <c r="AQ130" i="14"/>
  <c r="AP130" i="14"/>
  <c r="AO130" i="14"/>
  <c r="AN130" i="14"/>
  <c r="AM130" i="14"/>
  <c r="AL130" i="14"/>
  <c r="AP293" i="14"/>
  <c r="AQ293" i="14"/>
  <c r="AO293" i="14"/>
  <c r="AM293" i="14"/>
  <c r="AN293" i="14"/>
  <c r="AL293" i="14"/>
  <c r="AP309" i="14"/>
  <c r="AL309" i="14"/>
  <c r="AQ309" i="14"/>
  <c r="AO309" i="14"/>
  <c r="AN309" i="14"/>
  <c r="AM309" i="14"/>
  <c r="AP325" i="14"/>
  <c r="AL325" i="14"/>
  <c r="AQ325" i="14"/>
  <c r="AO325" i="14"/>
  <c r="AN325" i="14"/>
  <c r="AM325" i="14"/>
  <c r="AP338" i="14"/>
  <c r="AL338" i="14"/>
  <c r="AQ338" i="14"/>
  <c r="AO338" i="14"/>
  <c r="AN338" i="14"/>
  <c r="AM338" i="14"/>
  <c r="AP354" i="14"/>
  <c r="AL354" i="14"/>
  <c r="AQ354" i="14"/>
  <c r="AO354" i="14"/>
  <c r="AN354" i="14"/>
  <c r="AM354" i="14"/>
  <c r="AQ370" i="14"/>
  <c r="AP370" i="14"/>
  <c r="AL370" i="14"/>
  <c r="AO370" i="14"/>
  <c r="AN370" i="14"/>
  <c r="AM370" i="14"/>
  <c r="AQ386" i="14"/>
  <c r="AP386" i="14"/>
  <c r="AL386" i="14"/>
  <c r="AO386" i="14"/>
  <c r="AN386" i="14"/>
  <c r="AM386" i="14"/>
  <c r="G19" i="9"/>
  <c r="AP290" i="14"/>
  <c r="AL290" i="14"/>
  <c r="AQ290" i="14"/>
  <c r="AO290" i="14"/>
  <c r="AN290" i="14"/>
  <c r="AM290" i="14"/>
  <c r="AP306" i="14"/>
  <c r="AL306" i="14"/>
  <c r="AQ306" i="14"/>
  <c r="AO306" i="14"/>
  <c r="AN306" i="14"/>
  <c r="AM306" i="14"/>
  <c r="AP322" i="14"/>
  <c r="AL322" i="14"/>
  <c r="AQ322" i="14"/>
  <c r="AO322" i="14"/>
  <c r="AN322" i="14"/>
  <c r="AM322" i="14"/>
  <c r="AP349" i="14"/>
  <c r="AN349" i="14"/>
  <c r="AL349" i="14"/>
  <c r="AQ349" i="14"/>
  <c r="AO349" i="14"/>
  <c r="AM349" i="14"/>
  <c r="AP365" i="14"/>
  <c r="AO365" i="14"/>
  <c r="AN365" i="14"/>
  <c r="AL365" i="14"/>
  <c r="AQ365" i="14"/>
  <c r="AM365" i="14"/>
  <c r="AP381" i="14"/>
  <c r="AO381" i="14"/>
  <c r="AN381" i="14"/>
  <c r="AL381" i="14"/>
  <c r="AQ381" i="14"/>
  <c r="AM381" i="14"/>
  <c r="AQ195" i="14"/>
  <c r="AP195" i="14"/>
  <c r="AO195" i="14"/>
  <c r="AN195" i="14"/>
  <c r="AM195" i="14"/>
  <c r="AL195" i="14"/>
  <c r="AQ235" i="14"/>
  <c r="AP235" i="14"/>
  <c r="AO235" i="14"/>
  <c r="AN235" i="14"/>
  <c r="AM235" i="14"/>
  <c r="AL235" i="14"/>
  <c r="AP54" i="14"/>
  <c r="AO54" i="14"/>
  <c r="AN54" i="14"/>
  <c r="AM54" i="14"/>
  <c r="AL54" i="14"/>
  <c r="AQ54" i="14"/>
  <c r="AP70" i="14"/>
  <c r="AO70" i="14"/>
  <c r="AN70" i="14"/>
  <c r="AM70" i="14"/>
  <c r="AL70" i="14"/>
  <c r="AQ70" i="14"/>
  <c r="AP86" i="14"/>
  <c r="AO86" i="14"/>
  <c r="AN86" i="14"/>
  <c r="AM86" i="14"/>
  <c r="AL86" i="14"/>
  <c r="AQ86" i="14"/>
  <c r="AQ93" i="14"/>
  <c r="AP93" i="14"/>
  <c r="AO93" i="14"/>
  <c r="AN93" i="14"/>
  <c r="AM93" i="14"/>
  <c r="AL93" i="14"/>
  <c r="AQ101" i="14"/>
  <c r="AP101" i="14"/>
  <c r="AO101" i="14"/>
  <c r="AN101" i="14"/>
  <c r="AM101" i="14"/>
  <c r="AL101" i="14"/>
  <c r="AN109" i="14"/>
  <c r="AQ109" i="14"/>
  <c r="AP109" i="14"/>
  <c r="AO109" i="14"/>
  <c r="AM109" i="14"/>
  <c r="AL109" i="14"/>
  <c r="AN117" i="14"/>
  <c r="AL117" i="14"/>
  <c r="AO117" i="14"/>
  <c r="AM117" i="14"/>
  <c r="AQ117" i="14"/>
  <c r="AP117" i="14"/>
  <c r="AO125" i="14"/>
  <c r="AN125" i="14"/>
  <c r="AL125" i="14"/>
  <c r="AP125" i="14"/>
  <c r="AM125" i="14"/>
  <c r="AQ125" i="14"/>
  <c r="AO133" i="14"/>
  <c r="AN133" i="14"/>
  <c r="AM133" i="14"/>
  <c r="AL133" i="14"/>
  <c r="AQ133" i="14"/>
  <c r="AP133" i="14"/>
  <c r="AQ138" i="14"/>
  <c r="AP138" i="14"/>
  <c r="AO138" i="14"/>
  <c r="AN138" i="14"/>
  <c r="AM138" i="14"/>
  <c r="AL138" i="14"/>
  <c r="AQ140" i="14"/>
  <c r="AP140" i="14"/>
  <c r="AO140" i="14"/>
  <c r="AN140" i="14"/>
  <c r="AM140" i="14"/>
  <c r="AL140" i="14"/>
  <c r="AQ142" i="14"/>
  <c r="AP142" i="14"/>
  <c r="AO142" i="14"/>
  <c r="AN142" i="14"/>
  <c r="AM142" i="14"/>
  <c r="AL142" i="14"/>
  <c r="AQ144" i="14"/>
  <c r="AP144" i="14"/>
  <c r="AO144" i="14"/>
  <c r="AN144" i="14"/>
  <c r="AM144" i="14"/>
  <c r="AL144" i="14"/>
  <c r="AQ146" i="14"/>
  <c r="AP146" i="14"/>
  <c r="AO146" i="14"/>
  <c r="AN146" i="14"/>
  <c r="AM146" i="14"/>
  <c r="AL146" i="14"/>
  <c r="AP148" i="14"/>
  <c r="AO148" i="14"/>
  <c r="AM148" i="14"/>
  <c r="AL148" i="14"/>
  <c r="AQ150" i="14"/>
  <c r="AP150" i="14"/>
  <c r="AO150" i="14"/>
  <c r="AN150" i="14"/>
  <c r="AM150" i="14"/>
  <c r="AL150" i="14"/>
  <c r="AQ152" i="14"/>
  <c r="AP152" i="14"/>
  <c r="AO152" i="14"/>
  <c r="AN152" i="14"/>
  <c r="AM152" i="14"/>
  <c r="AL152" i="14"/>
  <c r="AQ154" i="14"/>
  <c r="AP154" i="14"/>
  <c r="AO154" i="14"/>
  <c r="AN154" i="14"/>
  <c r="AM154" i="14"/>
  <c r="AL154" i="14"/>
  <c r="AQ156" i="14"/>
  <c r="AP156" i="14"/>
  <c r="AO156" i="14"/>
  <c r="AN156" i="14"/>
  <c r="AM156" i="14"/>
  <c r="AL156" i="14"/>
  <c r="AQ158" i="14"/>
  <c r="AP158" i="14"/>
  <c r="AO158" i="14"/>
  <c r="AN158" i="14"/>
  <c r="AM158" i="14"/>
  <c r="AL158" i="14"/>
  <c r="AQ160" i="14"/>
  <c r="AP160" i="14"/>
  <c r="AO160" i="14"/>
  <c r="AN160" i="14"/>
  <c r="AM160" i="14"/>
  <c r="AL160" i="14"/>
  <c r="AQ162" i="14"/>
  <c r="AP162" i="14"/>
  <c r="AO162" i="14"/>
  <c r="AN162" i="14"/>
  <c r="AM162" i="14"/>
  <c r="AL162" i="14"/>
  <c r="AQ164" i="14"/>
  <c r="AP164" i="14"/>
  <c r="AO164" i="14"/>
  <c r="AN164" i="14"/>
  <c r="AM164" i="14"/>
  <c r="AL164" i="14"/>
  <c r="AQ166" i="14"/>
  <c r="AP166" i="14"/>
  <c r="AO166" i="14"/>
  <c r="AN166" i="14"/>
  <c r="AM166" i="14"/>
  <c r="AL166" i="14"/>
  <c r="AQ168" i="14"/>
  <c r="AP168" i="14"/>
  <c r="AO168" i="14"/>
  <c r="AN168" i="14"/>
  <c r="AM168" i="14"/>
  <c r="AL168" i="14"/>
  <c r="AQ170" i="14"/>
  <c r="AP170" i="14"/>
  <c r="AO170" i="14"/>
  <c r="AN170" i="14"/>
  <c r="AM170" i="14"/>
  <c r="AL170" i="14"/>
  <c r="AQ172" i="14"/>
  <c r="AP172" i="14"/>
  <c r="AO172" i="14"/>
  <c r="AN172" i="14"/>
  <c r="AM172" i="14"/>
  <c r="AL172" i="14"/>
  <c r="AQ174" i="14"/>
  <c r="AP174" i="14"/>
  <c r="AO174" i="14"/>
  <c r="AN174" i="14"/>
  <c r="AM174" i="14"/>
  <c r="AL174" i="14"/>
  <c r="AQ176" i="14"/>
  <c r="AP176" i="14"/>
  <c r="AO176" i="14"/>
  <c r="AN176" i="14"/>
  <c r="AM176" i="14"/>
  <c r="AL176" i="14"/>
  <c r="AQ178" i="14"/>
  <c r="AP178" i="14"/>
  <c r="AO178" i="14"/>
  <c r="AN178" i="14"/>
  <c r="AM178" i="14"/>
  <c r="AL178" i="14"/>
  <c r="AQ180" i="14"/>
  <c r="AP180" i="14"/>
  <c r="AO180" i="14"/>
  <c r="AN180" i="14"/>
  <c r="AM180" i="14"/>
  <c r="AL180" i="14"/>
  <c r="AQ182" i="14"/>
  <c r="AP182" i="14"/>
  <c r="AO182" i="14"/>
  <c r="AN182" i="14"/>
  <c r="AM182" i="14"/>
  <c r="AL182" i="14"/>
  <c r="AQ184" i="14"/>
  <c r="AP184" i="14"/>
  <c r="AO184" i="14"/>
  <c r="AN184" i="14"/>
  <c r="AM184" i="14"/>
  <c r="AL184" i="14"/>
  <c r="AQ186" i="14"/>
  <c r="AP186" i="14"/>
  <c r="AO186" i="14"/>
  <c r="AN186" i="14"/>
  <c r="AM186" i="14"/>
  <c r="AL186" i="14"/>
  <c r="F14" i="9"/>
  <c r="Y242" i="14" s="1"/>
  <c r="AL303" i="14"/>
  <c r="AQ303" i="14"/>
  <c r="AP303" i="14"/>
  <c r="AO303" i="14"/>
  <c r="AN303" i="14"/>
  <c r="AM303" i="14"/>
  <c r="AL319" i="14"/>
  <c r="AQ319" i="14"/>
  <c r="AP319" i="14"/>
  <c r="AO319" i="14"/>
  <c r="AN319" i="14"/>
  <c r="AM319" i="14"/>
  <c r="AL335" i="14"/>
  <c r="AQ335" i="14"/>
  <c r="AP335" i="14"/>
  <c r="AO335" i="14"/>
  <c r="AN335" i="14"/>
  <c r="AM335" i="14"/>
  <c r="AP344" i="14"/>
  <c r="AN344" i="14"/>
  <c r="AQ344" i="14"/>
  <c r="AO344" i="14"/>
  <c r="AM344" i="14"/>
  <c r="AL344" i="14"/>
  <c r="AP360" i="14"/>
  <c r="AN360" i="14"/>
  <c r="AM360" i="14"/>
  <c r="AL360" i="14"/>
  <c r="AQ360" i="14"/>
  <c r="AO360" i="14"/>
  <c r="AP376" i="14"/>
  <c r="AN376" i="14"/>
  <c r="AQ376" i="14"/>
  <c r="AO376" i="14"/>
  <c r="AM376" i="14"/>
  <c r="AL376" i="14"/>
  <c r="AQ203" i="14"/>
  <c r="AP203" i="14"/>
  <c r="AO203" i="14"/>
  <c r="AN203" i="14"/>
  <c r="AM203" i="14"/>
  <c r="AL203" i="14"/>
  <c r="AQ48" i="14"/>
  <c r="AP48" i="14"/>
  <c r="AO48" i="14"/>
  <c r="AN48" i="14"/>
  <c r="AM48" i="14"/>
  <c r="AL48" i="14"/>
  <c r="AQ73" i="14"/>
  <c r="AP73" i="14"/>
  <c r="AO73" i="14"/>
  <c r="AN73" i="14"/>
  <c r="AM73" i="14"/>
  <c r="AL73" i="14"/>
  <c r="AC31" i="14"/>
  <c r="AR31" i="14" s="1"/>
  <c r="J10" i="3" s="1"/>
  <c r="AO189" i="14"/>
  <c r="AN189" i="14"/>
  <c r="AM189" i="14"/>
  <c r="AL189" i="14"/>
  <c r="AQ189" i="14"/>
  <c r="AP189" i="14"/>
  <c r="AO193" i="14"/>
  <c r="AN193" i="14"/>
  <c r="AM193" i="14"/>
  <c r="AL193" i="14"/>
  <c r="AQ193" i="14"/>
  <c r="AP193" i="14"/>
  <c r="AO197" i="14"/>
  <c r="AN197" i="14"/>
  <c r="AM197" i="14"/>
  <c r="AL197" i="14"/>
  <c r="AQ197" i="14"/>
  <c r="AP197" i="14"/>
  <c r="AO201" i="14"/>
  <c r="AN201" i="14"/>
  <c r="AM201" i="14"/>
  <c r="AL201" i="14"/>
  <c r="AQ201" i="14"/>
  <c r="AP201" i="14"/>
  <c r="AO205" i="14"/>
  <c r="AN205" i="14"/>
  <c r="AM205" i="14"/>
  <c r="AL205" i="14"/>
  <c r="AQ205" i="14"/>
  <c r="AP205" i="14"/>
  <c r="AO209" i="14"/>
  <c r="AN209" i="14"/>
  <c r="AM209" i="14"/>
  <c r="AL209" i="14"/>
  <c r="AQ209" i="14"/>
  <c r="AP209" i="14"/>
  <c r="AO213" i="14"/>
  <c r="AN213" i="14"/>
  <c r="AM213" i="14"/>
  <c r="AL213" i="14"/>
  <c r="AQ213" i="14"/>
  <c r="AP213" i="14"/>
  <c r="AO217" i="14"/>
  <c r="AN217" i="14"/>
  <c r="AM217" i="14"/>
  <c r="AL217" i="14"/>
  <c r="AQ217" i="14"/>
  <c r="AP217" i="14"/>
  <c r="AO221" i="14"/>
  <c r="AN221" i="14"/>
  <c r="AM221" i="14"/>
  <c r="AL221" i="14"/>
  <c r="AQ221" i="14"/>
  <c r="AP221" i="14"/>
  <c r="AO225" i="14"/>
  <c r="AN225" i="14"/>
  <c r="AM225" i="14"/>
  <c r="AL225" i="14"/>
  <c r="AQ225" i="14"/>
  <c r="AP225" i="14"/>
  <c r="AM229" i="14"/>
  <c r="AQ229" i="14"/>
  <c r="AP229" i="14"/>
  <c r="AO229" i="14"/>
  <c r="AN229" i="14"/>
  <c r="AL229" i="14"/>
  <c r="AM233" i="14"/>
  <c r="AQ233" i="14"/>
  <c r="AP233" i="14"/>
  <c r="AO233" i="14"/>
  <c r="AN233" i="14"/>
  <c r="AL233" i="14"/>
  <c r="AQ250" i="14"/>
  <c r="AP250" i="14"/>
  <c r="AO250" i="14"/>
  <c r="AN250" i="14"/>
  <c r="AM250" i="14"/>
  <c r="AL250" i="14"/>
  <c r="AQ258" i="14"/>
  <c r="AP258" i="14"/>
  <c r="AO258" i="14"/>
  <c r="AN258" i="14"/>
  <c r="AM258" i="14"/>
  <c r="AL258" i="14"/>
  <c r="AQ266" i="14"/>
  <c r="AP266" i="14"/>
  <c r="AM266" i="14"/>
  <c r="AL266" i="14"/>
  <c r="AO266" i="14"/>
  <c r="AN266" i="14"/>
  <c r="AL274" i="14"/>
  <c r="AP274" i="14"/>
  <c r="AO274" i="14"/>
  <c r="AN274" i="14"/>
  <c r="AM274" i="14"/>
  <c r="AQ274" i="14"/>
  <c r="AL282" i="14"/>
  <c r="AQ282" i="14"/>
  <c r="AP282" i="14"/>
  <c r="AO282" i="14"/>
  <c r="AM282" i="14"/>
  <c r="AN282" i="14"/>
  <c r="AP300" i="14"/>
  <c r="AN300" i="14"/>
  <c r="AO300" i="14"/>
  <c r="AM300" i="14"/>
  <c r="AL300" i="14"/>
  <c r="AQ300" i="14"/>
  <c r="AP316" i="14"/>
  <c r="AN316" i="14"/>
  <c r="AQ316" i="14"/>
  <c r="AO316" i="14"/>
  <c r="AM316" i="14"/>
  <c r="AL316" i="14"/>
  <c r="AP332" i="14"/>
  <c r="AN332" i="14"/>
  <c r="AQ332" i="14"/>
  <c r="AO332" i="14"/>
  <c r="AM332" i="14"/>
  <c r="AL332" i="14"/>
  <c r="AL339" i="14"/>
  <c r="AO339" i="14"/>
  <c r="AN339" i="14"/>
  <c r="AM339" i="14"/>
  <c r="AQ339" i="14"/>
  <c r="AP339" i="14"/>
  <c r="AL355" i="14"/>
  <c r="AQ355" i="14"/>
  <c r="AP355" i="14"/>
  <c r="AO355" i="14"/>
  <c r="AN355" i="14"/>
  <c r="AM355" i="14"/>
  <c r="AM371" i="14"/>
  <c r="AL371" i="14"/>
  <c r="AQ371" i="14"/>
  <c r="AP371" i="14"/>
  <c r="AO371" i="14"/>
  <c r="AN371" i="14"/>
  <c r="AP393" i="14"/>
  <c r="AO393" i="14"/>
  <c r="AN393" i="14"/>
  <c r="AL393" i="14"/>
  <c r="AQ393" i="14"/>
  <c r="AM393" i="14"/>
  <c r="AP389" i="14"/>
  <c r="AO389" i="14"/>
  <c r="AN389" i="14"/>
  <c r="AL389" i="14"/>
  <c r="AM389" i="14"/>
  <c r="AQ389" i="14"/>
  <c r="AP397" i="14"/>
  <c r="AO397" i="14"/>
  <c r="AN397" i="14"/>
  <c r="AL397" i="14"/>
  <c r="AM399" i="14"/>
  <c r="AL399" i="14"/>
  <c r="AO399" i="14"/>
  <c r="AM415" i="14"/>
  <c r="AL415" i="14"/>
  <c r="AO415" i="14"/>
  <c r="AP421" i="14"/>
  <c r="AO421" i="14"/>
  <c r="AN421" i="14"/>
  <c r="AL421" i="14"/>
  <c r="AM397" i="14"/>
  <c r="AN399" i="14"/>
  <c r="AP401" i="14"/>
  <c r="AO401" i="14"/>
  <c r="AN401" i="14"/>
  <c r="AL401" i="14"/>
  <c r="AM403" i="14"/>
  <c r="AM411" i="14"/>
  <c r="AL411" i="14"/>
  <c r="AO411" i="14"/>
  <c r="AN415" i="14"/>
  <c r="AP417" i="14"/>
  <c r="AO417" i="14"/>
  <c r="AN417" i="14"/>
  <c r="AL417" i="14"/>
  <c r="AM421" i="14"/>
  <c r="AQ397" i="14"/>
  <c r="AP399" i="14"/>
  <c r="AM401" i="14"/>
  <c r="AN403" i="14"/>
  <c r="AP405" i="14"/>
  <c r="AO405" i="14"/>
  <c r="AN405" i="14"/>
  <c r="AL405" i="14"/>
  <c r="AP413" i="14"/>
  <c r="AO413" i="14"/>
  <c r="AN413" i="14"/>
  <c r="AL413" i="14"/>
  <c r="AP415" i="14"/>
  <c r="AM417" i="14"/>
  <c r="AQ421" i="14"/>
  <c r="AQ399" i="14"/>
  <c r="AQ401" i="14"/>
  <c r="AP403" i="14"/>
  <c r="AM405" i="14"/>
  <c r="AP409" i="14"/>
  <c r="AO409" i="14"/>
  <c r="AN409" i="14"/>
  <c r="AL409" i="14"/>
  <c r="AP411" i="14"/>
  <c r="AM413" i="14"/>
  <c r="AQ415" i="14"/>
  <c r="AQ417" i="14"/>
  <c r="AQ405" i="14"/>
  <c r="AM409" i="14"/>
  <c r="AQ411" i="14"/>
  <c r="AQ413" i="14"/>
  <c r="AQ434" i="14"/>
  <c r="AP434" i="14"/>
  <c r="AN434" i="14"/>
  <c r="AL434" i="14"/>
  <c r="AQ409" i="14"/>
  <c r="AQ430" i="14"/>
  <c r="AP430" i="14"/>
  <c r="AN430" i="14"/>
  <c r="AL430" i="14"/>
  <c r="AQ390" i="14"/>
  <c r="AP390" i="14"/>
  <c r="AL390" i="14"/>
  <c r="AQ426" i="14"/>
  <c r="AP426" i="14"/>
  <c r="AN426" i="14"/>
  <c r="AL426" i="14"/>
  <c r="AQ394" i="14"/>
  <c r="AP394" i="14"/>
  <c r="AL394" i="14"/>
  <c r="AQ422" i="14"/>
  <c r="AP422" i="14"/>
  <c r="AN422" i="14"/>
  <c r="AL422" i="14"/>
  <c r="AQ398" i="14"/>
  <c r="AP398" i="14"/>
  <c r="AL398" i="14"/>
  <c r="AQ418" i="14"/>
  <c r="AP418" i="14"/>
  <c r="AN418" i="14"/>
  <c r="AL418" i="14"/>
  <c r="AK402" i="14"/>
  <c r="AQ414" i="14"/>
  <c r="AP414" i="14"/>
  <c r="AN414" i="14"/>
  <c r="AL414" i="14"/>
  <c r="AQ406" i="14"/>
  <c r="AP406" i="14"/>
  <c r="AL406" i="14"/>
  <c r="AQ410" i="14"/>
  <c r="AP410" i="14"/>
  <c r="AN410" i="14"/>
  <c r="AL410" i="14"/>
  <c r="AK435" i="14"/>
  <c r="AK387" i="14"/>
  <c r="AK431" i="14"/>
  <c r="AM434" i="14"/>
  <c r="AP388" i="14"/>
  <c r="AK427" i="14"/>
  <c r="AM430" i="14"/>
  <c r="AK433" i="14"/>
  <c r="AO434" i="14"/>
  <c r="AM390" i="14"/>
  <c r="AK391" i="14"/>
  <c r="AK423" i="14"/>
  <c r="AM426" i="14"/>
  <c r="AK429" i="14"/>
  <c r="AO430" i="14"/>
  <c r="AP436" i="14"/>
  <c r="AO436" i="14"/>
  <c r="AN436" i="14"/>
  <c r="AM436" i="14"/>
  <c r="AL436" i="14"/>
  <c r="AN390" i="14"/>
  <c r="AM394" i="14"/>
  <c r="AK395" i="14"/>
  <c r="AK419" i="14"/>
  <c r="AM422" i="14"/>
  <c r="AK425" i="14"/>
  <c r="AO426" i="14"/>
  <c r="AN392" i="14"/>
  <c r="AN396" i="14"/>
  <c r="AN400" i="14"/>
  <c r="AN404" i="14"/>
  <c r="AN408" i="14"/>
  <c r="AN412" i="14"/>
  <c r="AN416" i="14"/>
  <c r="AN420" i="14"/>
  <c r="AN424" i="14"/>
  <c r="AN428" i="14"/>
  <c r="AN432" i="14"/>
  <c r="F9" i="16"/>
  <c r="Y387" i="14" s="1"/>
  <c r="AN331" i="14" l="1"/>
  <c r="AL331" i="14"/>
  <c r="AQ58" i="14"/>
  <c r="AL58" i="14"/>
  <c r="AM428" i="14"/>
  <c r="AN148" i="14"/>
  <c r="AM58" i="14"/>
  <c r="AL400" i="14"/>
  <c r="AP428" i="14"/>
  <c r="AN58" i="14"/>
  <c r="AO58" i="14"/>
  <c r="AQ400" i="14"/>
  <c r="AP400" i="14"/>
  <c r="AL428" i="14"/>
  <c r="AN398" i="14"/>
  <c r="AK87" i="14"/>
  <c r="AP87" i="14" s="1"/>
  <c r="AL432" i="14"/>
  <c r="AM432" i="14"/>
  <c r="AO331" i="14"/>
  <c r="AQ256" i="14"/>
  <c r="AO432" i="14"/>
  <c r="AP331" i="14"/>
  <c r="AQ78" i="14"/>
  <c r="AL40" i="14"/>
  <c r="AM398" i="14"/>
  <c r="AQ432" i="14"/>
  <c r="AL78" i="14"/>
  <c r="F12" i="9"/>
  <c r="Y240" i="14" s="1"/>
  <c r="AM40" i="14"/>
  <c r="AN394" i="14"/>
  <c r="AL408" i="14"/>
  <c r="AP412" i="14"/>
  <c r="AL412" i="14"/>
  <c r="AO120" i="14"/>
  <c r="AL283" i="14"/>
  <c r="AL120" i="14"/>
  <c r="AM283" i="14"/>
  <c r="AN120" i="14"/>
  <c r="AN283" i="14"/>
  <c r="AO412" i="14"/>
  <c r="AP120" i="14"/>
  <c r="AO283" i="14"/>
  <c r="AQ283" i="14"/>
  <c r="AM408" i="14"/>
  <c r="AM412" i="14"/>
  <c r="H9" i="5"/>
  <c r="AD37" i="14" s="1"/>
  <c r="AK37" i="14" s="1"/>
  <c r="AK36" i="14"/>
  <c r="AO36" i="14" s="1"/>
  <c r="AQ412" i="14"/>
  <c r="AQ388" i="14"/>
  <c r="AO388" i="14"/>
  <c r="AP392" i="14"/>
  <c r="AO392" i="14"/>
  <c r="AM392" i="14"/>
  <c r="AQ392" i="14"/>
  <c r="F9" i="7"/>
  <c r="Y137" i="14" s="1"/>
  <c r="H9" i="7"/>
  <c r="AD137" i="14" s="1"/>
  <c r="AK137" i="14" s="1"/>
  <c r="AQ403" i="14"/>
  <c r="AK238" i="14"/>
  <c r="AQ238" i="14" s="1"/>
  <c r="AO410" i="14"/>
  <c r="AM410" i="14"/>
  <c r="AK33" i="14"/>
  <c r="AL33" i="14" s="1"/>
  <c r="AP227" i="14"/>
  <c r="AL336" i="14"/>
  <c r="AN304" i="14"/>
  <c r="AM336" i="14"/>
  <c r="AL388" i="14"/>
  <c r="AO418" i="14"/>
  <c r="AM418" i="14"/>
  <c r="AO336" i="14"/>
  <c r="AO406" i="14"/>
  <c r="AN406" i="14"/>
  <c r="AM406" i="14"/>
  <c r="AO407" i="14"/>
  <c r="AQ336" i="14"/>
  <c r="AL392" i="14"/>
  <c r="AN336" i="14"/>
  <c r="AK244" i="14"/>
  <c r="AP244" i="14" s="1"/>
  <c r="AM326" i="14"/>
  <c r="AM414" i="14"/>
  <c r="AO414" i="14"/>
  <c r="AP420" i="14"/>
  <c r="AQ420" i="14"/>
  <c r="AO420" i="14"/>
  <c r="AM420" i="14"/>
  <c r="AL420" i="14"/>
  <c r="AP407" i="14"/>
  <c r="AQ407" i="14"/>
  <c r="AL407" i="14"/>
  <c r="AM407" i="14"/>
  <c r="J15" i="3"/>
  <c r="AN326" i="14"/>
  <c r="AK30" i="14"/>
  <c r="AP30" i="14" s="1"/>
  <c r="AK34" i="14"/>
  <c r="AP34" i="14" s="1"/>
  <c r="F13" i="9"/>
  <c r="Y241" i="14" s="1"/>
  <c r="AK241" i="14" s="1"/>
  <c r="AO256" i="14"/>
  <c r="AP404" i="14"/>
  <c r="AQ404" i="14"/>
  <c r="AO404" i="14"/>
  <c r="AM404" i="14"/>
  <c r="AL404" i="14"/>
  <c r="AO403" i="14"/>
  <c r="AO326" i="14"/>
  <c r="AM388" i="14"/>
  <c r="AN388" i="14"/>
  <c r="AL287" i="14"/>
  <c r="AQ287" i="14"/>
  <c r="AO287" i="14"/>
  <c r="AM287" i="14"/>
  <c r="AP287" i="14"/>
  <c r="AN287" i="14"/>
  <c r="AP425" i="14"/>
  <c r="AO425" i="14"/>
  <c r="AN425" i="14"/>
  <c r="AL425" i="14"/>
  <c r="AQ425" i="14"/>
  <c r="AM425" i="14"/>
  <c r="AM391" i="14"/>
  <c r="AL391" i="14"/>
  <c r="AO391" i="14"/>
  <c r="AN391" i="14"/>
  <c r="AQ391" i="14"/>
  <c r="AP391" i="14"/>
  <c r="AK242" i="14"/>
  <c r="AC241" i="14"/>
  <c r="AR241" i="14" s="1"/>
  <c r="AC243" i="14"/>
  <c r="AR243" i="14" s="1"/>
  <c r="AK35" i="14"/>
  <c r="AC239" i="14"/>
  <c r="AR239" i="14" s="1"/>
  <c r="AC237" i="14"/>
  <c r="AR237" i="14" s="1"/>
  <c r="AK31" i="14"/>
  <c r="J12" i="3"/>
  <c r="AC37" i="14"/>
  <c r="AR37" i="14" s="1"/>
  <c r="F11" i="9"/>
  <c r="Y239" i="14" s="1"/>
  <c r="H9" i="9"/>
  <c r="AD237" i="14" s="1"/>
  <c r="AP433" i="14"/>
  <c r="AO433" i="14"/>
  <c r="AN433" i="14"/>
  <c r="AL433" i="14"/>
  <c r="AQ433" i="14"/>
  <c r="AM433" i="14"/>
  <c r="H11" i="9"/>
  <c r="AD239" i="14" s="1"/>
  <c r="AM427" i="14"/>
  <c r="AL427" i="14"/>
  <c r="AO427" i="14"/>
  <c r="AP427" i="14"/>
  <c r="AN427" i="14"/>
  <c r="AQ427" i="14"/>
  <c r="AM423" i="14"/>
  <c r="AL423" i="14"/>
  <c r="AO423" i="14"/>
  <c r="AN423" i="14"/>
  <c r="AQ423" i="14"/>
  <c r="AP423" i="14"/>
  <c r="AM419" i="14"/>
  <c r="AL419" i="14"/>
  <c r="AO419" i="14"/>
  <c r="AQ419" i="14"/>
  <c r="AP419" i="14"/>
  <c r="AN419" i="14"/>
  <c r="AM395" i="14"/>
  <c r="AL395" i="14"/>
  <c r="AO395" i="14"/>
  <c r="AQ395" i="14"/>
  <c r="AP395" i="14"/>
  <c r="AN395" i="14"/>
  <c r="AQ402" i="14"/>
  <c r="AP402" i="14"/>
  <c r="AL402" i="14"/>
  <c r="AO402" i="14"/>
  <c r="AN402" i="14"/>
  <c r="AM402" i="14"/>
  <c r="AC247" i="14"/>
  <c r="AR247" i="14" s="1"/>
  <c r="AC246" i="14"/>
  <c r="AR246" i="14" s="1"/>
  <c r="AK32" i="14"/>
  <c r="AC248" i="14"/>
  <c r="AR248" i="14" s="1"/>
  <c r="AM431" i="14"/>
  <c r="AL431" i="14"/>
  <c r="AO431" i="14"/>
  <c r="AQ431" i="14"/>
  <c r="AP431" i="14"/>
  <c r="AN431" i="14"/>
  <c r="AK337" i="14"/>
  <c r="AC240" i="14"/>
  <c r="AR240" i="14" s="1"/>
  <c r="AK187" i="14"/>
  <c r="F18" i="9"/>
  <c r="Y246" i="14" s="1"/>
  <c r="AC245" i="14"/>
  <c r="AR245" i="14" s="1"/>
  <c r="AP429" i="14"/>
  <c r="AO429" i="14"/>
  <c r="AN429" i="14"/>
  <c r="AL429" i="14"/>
  <c r="AM429" i="14"/>
  <c r="AQ429" i="14"/>
  <c r="F15" i="9"/>
  <c r="Y243" i="14" s="1"/>
  <c r="H17" i="9"/>
  <c r="AD245" i="14" s="1"/>
  <c r="AM387" i="14"/>
  <c r="AL387" i="14"/>
  <c r="AP387" i="14"/>
  <c r="AO387" i="14"/>
  <c r="AN387" i="14"/>
  <c r="AQ387" i="14"/>
  <c r="AM435" i="14"/>
  <c r="AL435" i="14"/>
  <c r="AO435" i="14"/>
  <c r="AN435" i="14"/>
  <c r="AQ435" i="14"/>
  <c r="AP435" i="14"/>
  <c r="H15" i="9"/>
  <c r="AD243" i="14" s="1"/>
  <c r="AQ87" i="14" l="1"/>
  <c r="AM87" i="14"/>
  <c r="AN87" i="14"/>
  <c r="AO87" i="14"/>
  <c r="AL87" i="14"/>
  <c r="AL36" i="14"/>
  <c r="AQ36" i="14"/>
  <c r="AM36" i="14"/>
  <c r="AN36" i="14"/>
  <c r="AN33" i="14"/>
  <c r="AO33" i="14"/>
  <c r="AP36" i="14"/>
  <c r="AL238" i="14"/>
  <c r="AM33" i="14"/>
  <c r="AM238" i="14"/>
  <c r="AK237" i="14"/>
  <c r="AA255" i="13" s="1"/>
  <c r="AL34" i="14"/>
  <c r="AN34" i="14"/>
  <c r="AM244" i="14"/>
  <c r="AN238" i="14"/>
  <c r="AP33" i="14"/>
  <c r="AL244" i="14"/>
  <c r="AP238" i="14"/>
  <c r="AM34" i="14"/>
  <c r="J14" i="3"/>
  <c r="AO238" i="14"/>
  <c r="AL30" i="14"/>
  <c r="AQ30" i="14"/>
  <c r="AQ244" i="14"/>
  <c r="AQ34" i="14"/>
  <c r="AQ33" i="14"/>
  <c r="AN244" i="14"/>
  <c r="AO244" i="14"/>
  <c r="AM30" i="14"/>
  <c r="AN30" i="14"/>
  <c r="AO30" i="14"/>
  <c r="AO34" i="14"/>
  <c r="AQ32" i="14"/>
  <c r="AP32" i="14"/>
  <c r="AO32" i="14"/>
  <c r="AN32" i="14"/>
  <c r="AM32" i="14"/>
  <c r="AL32" i="14"/>
  <c r="AK245" i="14"/>
  <c r="AK246" i="14"/>
  <c r="AK247" i="14"/>
  <c r="AL35" i="14"/>
  <c r="AQ35" i="14"/>
  <c r="AP35" i="14"/>
  <c r="AO35" i="14"/>
  <c r="AN35" i="14"/>
  <c r="AM35" i="14"/>
  <c r="AQ242" i="14"/>
  <c r="AP242" i="14"/>
  <c r="AO242" i="14"/>
  <c r="AN242" i="14"/>
  <c r="AM242" i="14"/>
  <c r="AL242" i="14"/>
  <c r="AO137" i="14"/>
  <c r="AN137" i="14"/>
  <c r="AM137" i="14"/>
  <c r="AL137" i="14"/>
  <c r="AQ137" i="14"/>
  <c r="AP137" i="14"/>
  <c r="AK239" i="14"/>
  <c r="AP337" i="14"/>
  <c r="AL337" i="14"/>
  <c r="AQ337" i="14"/>
  <c r="AO337" i="14"/>
  <c r="AN337" i="14"/>
  <c r="AM337" i="14"/>
  <c r="AK240" i="14"/>
  <c r="AA199" i="13"/>
  <c r="AK248" i="14"/>
  <c r="AQ187" i="14"/>
  <c r="AP187" i="14"/>
  <c r="AO187" i="14"/>
  <c r="AN187" i="14"/>
  <c r="AM187" i="14"/>
  <c r="AL187" i="14"/>
  <c r="AQ37" i="14"/>
  <c r="AP37" i="14"/>
  <c r="AO37" i="14"/>
  <c r="AN37" i="14"/>
  <c r="AM37" i="14"/>
  <c r="AL37" i="14"/>
  <c r="AK243" i="14"/>
  <c r="AA328" i="13"/>
  <c r="AM241" i="14"/>
  <c r="AQ241" i="14"/>
  <c r="AP241" i="14"/>
  <c r="AO241" i="14"/>
  <c r="AN241" i="14"/>
  <c r="AL241" i="14"/>
  <c r="AL31" i="14"/>
  <c r="AN31" i="14"/>
  <c r="AM31" i="14"/>
  <c r="AQ31" i="14"/>
  <c r="AP31" i="14"/>
  <c r="AO31" i="14"/>
  <c r="AA371" i="13" l="1"/>
  <c r="AN237" i="14"/>
  <c r="AA158" i="13"/>
  <c r="AA247" i="13"/>
  <c r="AA395" i="13"/>
  <c r="AA165" i="13"/>
  <c r="AL237" i="14"/>
  <c r="AA74" i="13"/>
  <c r="AA378" i="13"/>
  <c r="AA140" i="13"/>
  <c r="I140" i="13" s="1"/>
  <c r="AA43" i="13"/>
  <c r="AA213" i="13"/>
  <c r="AA384" i="13"/>
  <c r="AA94" i="13"/>
  <c r="J94" i="13" s="1"/>
  <c r="AO237" i="14"/>
  <c r="AP237" i="14"/>
  <c r="AA126" i="13"/>
  <c r="AQ237" i="14"/>
  <c r="AA192" i="13"/>
  <c r="AM237" i="14"/>
  <c r="AA64" i="13"/>
  <c r="AA208" i="13"/>
  <c r="AA56" i="13"/>
  <c r="AA387" i="13"/>
  <c r="AA68" i="13"/>
  <c r="AA122" i="13"/>
  <c r="AA99" i="13"/>
  <c r="H99" i="13" s="1"/>
  <c r="AA171" i="13"/>
  <c r="AA391" i="13"/>
  <c r="AA83" i="13"/>
  <c r="A83" i="13" s="1"/>
  <c r="AA372" i="13"/>
  <c r="AA353" i="13"/>
  <c r="G353" i="13" s="1"/>
  <c r="AA143" i="13"/>
  <c r="AA390" i="13"/>
  <c r="AA119" i="13"/>
  <c r="AA61" i="13"/>
  <c r="AA283" i="13"/>
  <c r="E283" i="13" s="1"/>
  <c r="AA79" i="13"/>
  <c r="AA313" i="13"/>
  <c r="C313" i="13" s="1"/>
  <c r="AA310" i="13"/>
  <c r="H310" i="13" s="1"/>
  <c r="AA364" i="13"/>
  <c r="B364" i="13" s="1"/>
  <c r="AA349" i="13"/>
  <c r="G349" i="13" s="1"/>
  <c r="AA114" i="13"/>
  <c r="AA342" i="13"/>
  <c r="G342" i="13" s="1"/>
  <c r="AA414" i="13"/>
  <c r="AA333" i="13"/>
  <c r="B333" i="13" s="1"/>
  <c r="AA311" i="13"/>
  <c r="AA166" i="13"/>
  <c r="K166" i="13" s="1"/>
  <c r="AA270" i="13"/>
  <c r="AA297" i="13"/>
  <c r="AA275" i="13"/>
  <c r="AA111" i="13"/>
  <c r="AA332" i="13"/>
  <c r="AA269" i="13"/>
  <c r="AA217" i="13"/>
  <c r="D217" i="13" s="1"/>
  <c r="AA141" i="13"/>
  <c r="E141" i="13" s="1"/>
  <c r="AA137" i="13"/>
  <c r="AA316" i="13"/>
  <c r="A316" i="13" s="1"/>
  <c r="G140" i="13"/>
  <c r="F140" i="13"/>
  <c r="E140" i="13"/>
  <c r="C140" i="13"/>
  <c r="B140" i="13"/>
  <c r="K140" i="13"/>
  <c r="J140" i="13"/>
  <c r="H140" i="13"/>
  <c r="D140" i="13"/>
  <c r="A140" i="13"/>
  <c r="J283" i="13"/>
  <c r="I283" i="13"/>
  <c r="H283" i="13"/>
  <c r="G283" i="13"/>
  <c r="F283" i="13"/>
  <c r="C56" i="13"/>
  <c r="B56" i="13"/>
  <c r="A56" i="13"/>
  <c r="J56" i="13"/>
  <c r="K56" i="13"/>
  <c r="I56" i="13"/>
  <c r="H56" i="13"/>
  <c r="G56" i="13"/>
  <c r="F56" i="13"/>
  <c r="E56" i="13"/>
  <c r="D56" i="13"/>
  <c r="I99" i="13"/>
  <c r="F99" i="13"/>
  <c r="D99" i="13"/>
  <c r="AA334" i="13"/>
  <c r="AA129" i="13"/>
  <c r="AQ240" i="14"/>
  <c r="AP240" i="14"/>
  <c r="AO240" i="14"/>
  <c r="AN240" i="14"/>
  <c r="AM240" i="14"/>
  <c r="AL240" i="14"/>
  <c r="AA263" i="13"/>
  <c r="AA223" i="13"/>
  <c r="AA315" i="13"/>
  <c r="AA259" i="13"/>
  <c r="AA264" i="13"/>
  <c r="AA181" i="13"/>
  <c r="J364" i="13"/>
  <c r="K364" i="13"/>
  <c r="K94" i="13"/>
  <c r="C94" i="13"/>
  <c r="B94" i="13"/>
  <c r="A94" i="13"/>
  <c r="AO243" i="14"/>
  <c r="AN243" i="14"/>
  <c r="AM243" i="14"/>
  <c r="AL243" i="14"/>
  <c r="AQ243" i="14"/>
  <c r="AP243" i="14"/>
  <c r="AA392" i="13"/>
  <c r="AA355" i="13"/>
  <c r="AA81" i="13"/>
  <c r="AA193" i="13"/>
  <c r="AA254" i="13"/>
  <c r="AA405" i="13"/>
  <c r="AA176" i="13"/>
  <c r="AA225" i="13"/>
  <c r="AA401" i="13"/>
  <c r="AA45" i="13"/>
  <c r="AA308" i="13"/>
  <c r="AA54" i="13"/>
  <c r="AA123" i="13"/>
  <c r="AA88" i="13"/>
  <c r="AA118" i="13"/>
  <c r="AA102" i="13"/>
  <c r="AA187" i="13"/>
  <c r="AA290" i="13"/>
  <c r="AA210" i="13"/>
  <c r="AA350" i="13"/>
  <c r="AA145" i="13"/>
  <c r="C111" i="13"/>
  <c r="B111" i="13"/>
  <c r="A111" i="13"/>
  <c r="K111" i="13"/>
  <c r="J111" i="13"/>
  <c r="I111" i="13"/>
  <c r="H111" i="13"/>
  <c r="G111" i="13"/>
  <c r="F111" i="13"/>
  <c r="E111" i="13"/>
  <c r="D111" i="13"/>
  <c r="J275" i="13"/>
  <c r="I275" i="13"/>
  <c r="H275" i="13"/>
  <c r="G275" i="13"/>
  <c r="F275" i="13"/>
  <c r="E275" i="13"/>
  <c r="D275" i="13"/>
  <c r="C275" i="13"/>
  <c r="B275" i="13"/>
  <c r="A275" i="13"/>
  <c r="K275" i="13"/>
  <c r="F270" i="13"/>
  <c r="E270" i="13"/>
  <c r="D270" i="13"/>
  <c r="C270" i="13"/>
  <c r="B270" i="13"/>
  <c r="A270" i="13"/>
  <c r="K270" i="13"/>
  <c r="J270" i="13"/>
  <c r="I270" i="13"/>
  <c r="H270" i="13"/>
  <c r="G270" i="13"/>
  <c r="K208" i="13"/>
  <c r="J208" i="13"/>
  <c r="I208" i="13"/>
  <c r="H208" i="13"/>
  <c r="G208" i="13"/>
  <c r="F208" i="13"/>
  <c r="E208" i="13"/>
  <c r="D208" i="13"/>
  <c r="C208" i="13"/>
  <c r="B208" i="13"/>
  <c r="A208" i="13"/>
  <c r="E342" i="13"/>
  <c r="D342" i="13"/>
  <c r="B342" i="13"/>
  <c r="A342" i="13"/>
  <c r="K342" i="13"/>
  <c r="J342" i="13"/>
  <c r="I342" i="13"/>
  <c r="H342" i="13"/>
  <c r="AA404" i="13"/>
  <c r="AA51" i="13"/>
  <c r="AA336" i="13"/>
  <c r="AA121" i="13"/>
  <c r="AA415" i="13"/>
  <c r="AA215" i="13"/>
  <c r="AA402" i="13"/>
  <c r="AA144" i="13"/>
  <c r="AA212" i="13"/>
  <c r="AA305" i="13"/>
  <c r="AA216" i="13"/>
  <c r="AA375" i="13"/>
  <c r="AA131" i="13"/>
  <c r="AA359" i="13"/>
  <c r="AA113" i="13"/>
  <c r="AA197" i="13"/>
  <c r="AA233" i="13"/>
  <c r="AA330" i="13"/>
  <c r="AA177" i="13"/>
  <c r="AA338" i="13"/>
  <c r="AA344" i="13"/>
  <c r="C297" i="13"/>
  <c r="B297" i="13"/>
  <c r="A297" i="13"/>
  <c r="K297" i="13"/>
  <c r="J297" i="13"/>
  <c r="I297" i="13"/>
  <c r="H297" i="13"/>
  <c r="G297" i="13"/>
  <c r="F297" i="13"/>
  <c r="E297" i="13"/>
  <c r="D297" i="13"/>
  <c r="B372" i="13"/>
  <c r="J372" i="13"/>
  <c r="I372" i="13"/>
  <c r="H372" i="13"/>
  <c r="G372" i="13"/>
  <c r="F372" i="13"/>
  <c r="E372" i="13"/>
  <c r="D372" i="13"/>
  <c r="C372" i="13"/>
  <c r="A372" i="13"/>
  <c r="K372" i="13"/>
  <c r="J255" i="13"/>
  <c r="I255" i="13"/>
  <c r="H255" i="13"/>
  <c r="G255" i="13"/>
  <c r="F255" i="13"/>
  <c r="E255" i="13"/>
  <c r="C255" i="13"/>
  <c r="B255" i="13"/>
  <c r="A255" i="13"/>
  <c r="K255" i="13"/>
  <c r="D255" i="13"/>
  <c r="J378" i="13"/>
  <c r="G378" i="13"/>
  <c r="B378" i="13"/>
  <c r="K378" i="13"/>
  <c r="I378" i="13"/>
  <c r="H378" i="13"/>
  <c r="F378" i="13"/>
  <c r="E378" i="13"/>
  <c r="D378" i="13"/>
  <c r="C378" i="13"/>
  <c r="A378" i="13"/>
  <c r="AA155" i="13"/>
  <c r="AA373" i="13"/>
  <c r="AA142" i="13"/>
  <c r="AM239" i="14"/>
  <c r="AL239" i="14"/>
  <c r="AQ239" i="14"/>
  <c r="AP239" i="14"/>
  <c r="AO239" i="14"/>
  <c r="AN239" i="14"/>
  <c r="AA186" i="13"/>
  <c r="AA156" i="13"/>
  <c r="AA281" i="13"/>
  <c r="AA80" i="13"/>
  <c r="AA138" i="13"/>
  <c r="AA352" i="13"/>
  <c r="AA209" i="13"/>
  <c r="AA78" i="13"/>
  <c r="AA256" i="13"/>
  <c r="AA200" i="13"/>
  <c r="AA27" i="13"/>
  <c r="AA72" i="13"/>
  <c r="AA21" i="13"/>
  <c r="AA339" i="13"/>
  <c r="AA303" i="13"/>
  <c r="AA55" i="13"/>
  <c r="AA226" i="13"/>
  <c r="AA161" i="13"/>
  <c r="AA326" i="13"/>
  <c r="AA117" i="13"/>
  <c r="AA47" i="13"/>
  <c r="AA246" i="13"/>
  <c r="AA84" i="13"/>
  <c r="AA231" i="13"/>
  <c r="AA24" i="13"/>
  <c r="AA127" i="13"/>
  <c r="AA90" i="13"/>
  <c r="AA260" i="13"/>
  <c r="AA34" i="13"/>
  <c r="AA376" i="13"/>
  <c r="AA160" i="13"/>
  <c r="AA107" i="13"/>
  <c r="AA335" i="13"/>
  <c r="AA201" i="13"/>
  <c r="AA369" i="13"/>
  <c r="AA232" i="13"/>
  <c r="AA243" i="13"/>
  <c r="AA65" i="13"/>
  <c r="AA374" i="13"/>
  <c r="AA204" i="13"/>
  <c r="AA14" i="13"/>
  <c r="AA314" i="13"/>
  <c r="AA153" i="13"/>
  <c r="AA10" i="13"/>
  <c r="AA13" i="13"/>
  <c r="AA325" i="13"/>
  <c r="AA130" i="13"/>
  <c r="AA182" i="13"/>
  <c r="AA12" i="13"/>
  <c r="AA16" i="13"/>
  <c r="AA28" i="13"/>
  <c r="AA412" i="13"/>
  <c r="AA59" i="13"/>
  <c r="AA408" i="13"/>
  <c r="AA185" i="13"/>
  <c r="AA147" i="13"/>
  <c r="AA396" i="13"/>
  <c r="AA234" i="13"/>
  <c r="AA29" i="13"/>
  <c r="AA206" i="13"/>
  <c r="AA41" i="13"/>
  <c r="AA240" i="13"/>
  <c r="AA139" i="13"/>
  <c r="AA289" i="13"/>
  <c r="AA168" i="13"/>
  <c r="AA348" i="13"/>
  <c r="AA151" i="13"/>
  <c r="AA105" i="13"/>
  <c r="AA357" i="13"/>
  <c r="AA386" i="13"/>
  <c r="AA309" i="13"/>
  <c r="AA248" i="13"/>
  <c r="AA273" i="13"/>
  <c r="AA293" i="13"/>
  <c r="AA301" i="13"/>
  <c r="AA271" i="13"/>
  <c r="AA174" i="13"/>
  <c r="AA11" i="13"/>
  <c r="AA400" i="13"/>
  <c r="AA188" i="13"/>
  <c r="AA198" i="13"/>
  <c r="AA379" i="13"/>
  <c r="AA67" i="13"/>
  <c r="AQ247" i="14"/>
  <c r="AP247" i="14"/>
  <c r="AO247" i="14"/>
  <c r="AN247" i="14"/>
  <c r="AM247" i="14"/>
  <c r="AL247" i="14"/>
  <c r="AA318" i="13"/>
  <c r="AA363" i="13"/>
  <c r="AA76" i="13"/>
  <c r="D114" i="13"/>
  <c r="C114" i="13"/>
  <c r="B114" i="13"/>
  <c r="A114" i="13"/>
  <c r="K114" i="13"/>
  <c r="J114" i="13"/>
  <c r="I114" i="13"/>
  <c r="H114" i="13"/>
  <c r="G114" i="13"/>
  <c r="F114" i="13"/>
  <c r="E114" i="13"/>
  <c r="K387" i="13"/>
  <c r="F387" i="13"/>
  <c r="J387" i="13"/>
  <c r="I387" i="13"/>
  <c r="H387" i="13"/>
  <c r="G387" i="13"/>
  <c r="E387" i="13"/>
  <c r="D387" i="13"/>
  <c r="C387" i="13"/>
  <c r="B387" i="13"/>
  <c r="A387" i="13"/>
  <c r="AA75" i="13"/>
  <c r="AA214" i="13"/>
  <c r="AA362" i="13"/>
  <c r="AA172" i="13"/>
  <c r="AA190" i="13"/>
  <c r="AA354" i="13"/>
  <c r="AA148" i="13"/>
  <c r="K328" i="13"/>
  <c r="J328" i="13"/>
  <c r="I328" i="13"/>
  <c r="G328" i="13"/>
  <c r="F328" i="13"/>
  <c r="E328" i="13"/>
  <c r="H328" i="13"/>
  <c r="D328" i="13"/>
  <c r="C328" i="13"/>
  <c r="B328" i="13"/>
  <c r="A328" i="13"/>
  <c r="C171" i="13"/>
  <c r="B171" i="13"/>
  <c r="A171" i="13"/>
  <c r="K171" i="13"/>
  <c r="J171" i="13"/>
  <c r="I171" i="13"/>
  <c r="D171" i="13"/>
  <c r="H171" i="13"/>
  <c r="G171" i="13"/>
  <c r="F171" i="13"/>
  <c r="E171" i="13"/>
  <c r="C199" i="13"/>
  <c r="B199" i="13"/>
  <c r="A199" i="13"/>
  <c r="K199" i="13"/>
  <c r="J199" i="13"/>
  <c r="I199" i="13"/>
  <c r="G199" i="13"/>
  <c r="F199" i="13"/>
  <c r="E199" i="13"/>
  <c r="H199" i="13"/>
  <c r="D199" i="13"/>
  <c r="G192" i="13"/>
  <c r="F192" i="13"/>
  <c r="E192" i="13"/>
  <c r="D192" i="13"/>
  <c r="C192" i="13"/>
  <c r="B192" i="13"/>
  <c r="A192" i="13"/>
  <c r="K192" i="13"/>
  <c r="J192" i="13"/>
  <c r="I192" i="13"/>
  <c r="H192" i="13"/>
  <c r="AA322" i="13"/>
  <c r="AA46" i="13"/>
  <c r="AA189" i="13"/>
  <c r="AA331" i="13"/>
  <c r="AA236" i="13"/>
  <c r="AA410" i="13"/>
  <c r="AA101" i="13"/>
  <c r="AA393" i="13"/>
  <c r="AA97" i="13"/>
  <c r="AA370" i="13"/>
  <c r="AA108" i="13"/>
  <c r="AA383" i="13"/>
  <c r="AA183" i="13"/>
  <c r="AA360" i="13"/>
  <c r="AA92" i="13"/>
  <c r="AA221" i="13"/>
  <c r="AA323" i="13"/>
  <c r="AA112" i="13"/>
  <c r="J414" i="13"/>
  <c r="I414" i="13"/>
  <c r="H414" i="13"/>
  <c r="G414" i="13"/>
  <c r="D414" i="13"/>
  <c r="C414" i="13"/>
  <c r="B414" i="13"/>
  <c r="A414" i="13"/>
  <c r="K414" i="13"/>
  <c r="F414" i="13"/>
  <c r="E414" i="13"/>
  <c r="H353" i="13"/>
  <c r="C143" i="13"/>
  <c r="B143" i="13"/>
  <c r="A143" i="13"/>
  <c r="J143" i="13"/>
  <c r="I143" i="13"/>
  <c r="H143" i="13"/>
  <c r="G143" i="13"/>
  <c r="F143" i="13"/>
  <c r="E143" i="13"/>
  <c r="D143" i="13"/>
  <c r="K143" i="13"/>
  <c r="K332" i="13"/>
  <c r="J332" i="13"/>
  <c r="I332" i="13"/>
  <c r="G332" i="13"/>
  <c r="F332" i="13"/>
  <c r="E332" i="13"/>
  <c r="H332" i="13"/>
  <c r="D332" i="13"/>
  <c r="C332" i="13"/>
  <c r="B332" i="13"/>
  <c r="A332" i="13"/>
  <c r="AA116" i="13"/>
  <c r="AA261" i="13"/>
  <c r="AA58" i="13"/>
  <c r="AA407" i="13"/>
  <c r="AA95" i="13"/>
  <c r="AA235" i="13"/>
  <c r="AA220" i="13"/>
  <c r="AA284" i="13"/>
  <c r="AA120" i="13"/>
  <c r="AA280" i="13"/>
  <c r="AA115" i="13"/>
  <c r="AA368" i="13"/>
  <c r="AA100" i="13"/>
  <c r="AA365" i="13"/>
  <c r="AA253" i="13"/>
  <c r="AA406" i="13"/>
  <c r="AA134" i="13"/>
  <c r="AA250" i="13"/>
  <c r="AA252" i="13"/>
  <c r="AA17" i="13"/>
  <c r="G61" i="13"/>
  <c r="F61" i="13"/>
  <c r="E61" i="13"/>
  <c r="D61" i="13"/>
  <c r="C61" i="13"/>
  <c r="B61" i="13"/>
  <c r="A61" i="13"/>
  <c r="K61" i="13"/>
  <c r="J61" i="13"/>
  <c r="I61" i="13"/>
  <c r="H61" i="13"/>
  <c r="AA175" i="13"/>
  <c r="AA229" i="13"/>
  <c r="AA299" i="13"/>
  <c r="AA132" i="13"/>
  <c r="AA207" i="13"/>
  <c r="AA277" i="13"/>
  <c r="AA39" i="13"/>
  <c r="K391" i="13"/>
  <c r="F391" i="13"/>
  <c r="E391" i="13"/>
  <c r="J391" i="13"/>
  <c r="I391" i="13"/>
  <c r="H391" i="13"/>
  <c r="G391" i="13"/>
  <c r="D391" i="13"/>
  <c r="C391" i="13"/>
  <c r="B391" i="13"/>
  <c r="A391" i="13"/>
  <c r="F122" i="13"/>
  <c r="E122" i="13"/>
  <c r="D122" i="13"/>
  <c r="C122" i="13"/>
  <c r="B122" i="13"/>
  <c r="A122" i="13"/>
  <c r="K122" i="13"/>
  <c r="J122" i="13"/>
  <c r="I122" i="13"/>
  <c r="H122" i="13"/>
  <c r="G122" i="13"/>
  <c r="J390" i="13"/>
  <c r="H390" i="13"/>
  <c r="G390" i="13"/>
  <c r="B390" i="13"/>
  <c r="A390" i="13"/>
  <c r="K390" i="13"/>
  <c r="I390" i="13"/>
  <c r="F390" i="13"/>
  <c r="E390" i="13"/>
  <c r="D390" i="13"/>
  <c r="C390" i="13"/>
  <c r="K311" i="13"/>
  <c r="J311" i="13"/>
  <c r="I311" i="13"/>
  <c r="F311" i="13"/>
  <c r="E311" i="13"/>
  <c r="H311" i="13"/>
  <c r="G311" i="13"/>
  <c r="D311" i="13"/>
  <c r="C311" i="13"/>
  <c r="B311" i="13"/>
  <c r="A311" i="13"/>
  <c r="AA319" i="13"/>
  <c r="AA128" i="13"/>
  <c r="AA53" i="13"/>
  <c r="AA9" i="13"/>
  <c r="AA361" i="13"/>
  <c r="AA196" i="13"/>
  <c r="AA345" i="13"/>
  <c r="AA86" i="13"/>
  <c r="AA324" i="13"/>
  <c r="AA150" i="13"/>
  <c r="AA203" i="13"/>
  <c r="AA399" i="13"/>
  <c r="AA87" i="13"/>
  <c r="AA346" i="13"/>
  <c r="AA35" i="13"/>
  <c r="AA343" i="13"/>
  <c r="AA60" i="13"/>
  <c r="AA367" i="13"/>
  <c r="AA93" i="13"/>
  <c r="AA180" i="13"/>
  <c r="AA268" i="13"/>
  <c r="AA98" i="13"/>
  <c r="AA205" i="13"/>
  <c r="AA298" i="13"/>
  <c r="AA18" i="13"/>
  <c r="B217" i="13"/>
  <c r="J217" i="13"/>
  <c r="C68" i="13"/>
  <c r="B68" i="13"/>
  <c r="A68" i="13"/>
  <c r="K68" i="13"/>
  <c r="J68" i="13"/>
  <c r="I68" i="13"/>
  <c r="G68" i="13"/>
  <c r="H68" i="13"/>
  <c r="F68" i="13"/>
  <c r="E68" i="13"/>
  <c r="D68" i="13"/>
  <c r="E313" i="13"/>
  <c r="D313" i="13"/>
  <c r="K165" i="13"/>
  <c r="J165" i="13"/>
  <c r="I165" i="13"/>
  <c r="H165" i="13"/>
  <c r="G165" i="13"/>
  <c r="F165" i="13"/>
  <c r="E165" i="13"/>
  <c r="B165" i="13"/>
  <c r="C165" i="13"/>
  <c r="A165" i="13"/>
  <c r="D165" i="13"/>
  <c r="AA82" i="13"/>
  <c r="AA347" i="13"/>
  <c r="AA288" i="13"/>
  <c r="AA296" i="13"/>
  <c r="AA320" i="13"/>
  <c r="AA157" i="13"/>
  <c r="AA227" i="13"/>
  <c r="AA173" i="13"/>
  <c r="AA394" i="13"/>
  <c r="AA30" i="13"/>
  <c r="AA238" i="13"/>
  <c r="AA380" i="13"/>
  <c r="AA133" i="13"/>
  <c r="AA282" i="13"/>
  <c r="AA66" i="13"/>
  <c r="AA278" i="13"/>
  <c r="AA32" i="13"/>
  <c r="AA276" i="13"/>
  <c r="AA110" i="13"/>
  <c r="AA71" i="13"/>
  <c r="AA287" i="13"/>
  <c r="AA20" i="13"/>
  <c r="AA164" i="13"/>
  <c r="AA306" i="13"/>
  <c r="AA70" i="13"/>
  <c r="J247" i="13"/>
  <c r="I247" i="13"/>
  <c r="G247" i="13"/>
  <c r="F247" i="13"/>
  <c r="E247" i="13"/>
  <c r="B247" i="13"/>
  <c r="K247" i="13"/>
  <c r="H247" i="13"/>
  <c r="D247" i="13"/>
  <c r="C247" i="13"/>
  <c r="A247" i="13"/>
  <c r="B213" i="13"/>
  <c r="A213" i="13"/>
  <c r="I213" i="13"/>
  <c r="H213" i="13"/>
  <c r="G213" i="13"/>
  <c r="F213" i="13"/>
  <c r="E213" i="13"/>
  <c r="D213" i="13"/>
  <c r="C213" i="13"/>
  <c r="K213" i="13"/>
  <c r="J213" i="13"/>
  <c r="AA154" i="13"/>
  <c r="AA388" i="13"/>
  <c r="AA36" i="13"/>
  <c r="AA262" i="13"/>
  <c r="AA159" i="13"/>
  <c r="AA329" i="13"/>
  <c r="AA48" i="13"/>
  <c r="AA162" i="13"/>
  <c r="AA136" i="13"/>
  <c r="AA377" i="13"/>
  <c r="AA25" i="13"/>
  <c r="AA244" i="13"/>
  <c r="AA385" i="13"/>
  <c r="AA163" i="13"/>
  <c r="AA304" i="13"/>
  <c r="AA42" i="13"/>
  <c r="AA341" i="13"/>
  <c r="AA317" i="13"/>
  <c r="AA26" i="13"/>
  <c r="AA103" i="13"/>
  <c r="AA285" i="13"/>
  <c r="AA31" i="13"/>
  <c r="AA63" i="13"/>
  <c r="AA218" i="13"/>
  <c r="AM245" i="14"/>
  <c r="AQ245" i="14"/>
  <c r="AP245" i="14"/>
  <c r="AO245" i="14"/>
  <c r="AN245" i="14"/>
  <c r="AL245" i="14"/>
  <c r="K395" i="13"/>
  <c r="F395" i="13"/>
  <c r="E395" i="13"/>
  <c r="J395" i="13"/>
  <c r="I395" i="13"/>
  <c r="H395" i="13"/>
  <c r="G395" i="13"/>
  <c r="D395" i="13"/>
  <c r="C395" i="13"/>
  <c r="B395" i="13"/>
  <c r="A395" i="13"/>
  <c r="C119" i="13"/>
  <c r="B119" i="13"/>
  <c r="A119" i="13"/>
  <c r="D119" i="13"/>
  <c r="K119" i="13"/>
  <c r="J119" i="13"/>
  <c r="I119" i="13"/>
  <c r="H119" i="13"/>
  <c r="G119" i="13"/>
  <c r="F119" i="13"/>
  <c r="E119" i="13"/>
  <c r="H349" i="13"/>
  <c r="AQ248" i="14"/>
  <c r="AM248" i="14"/>
  <c r="AL248" i="14"/>
  <c r="AP248" i="14"/>
  <c r="AO248" i="14"/>
  <c r="AN248" i="14"/>
  <c r="AA170" i="13"/>
  <c r="AA62" i="13"/>
  <c r="AA265" i="13"/>
  <c r="AA77" i="13"/>
  <c r="AA230" i="13"/>
  <c r="AA167" i="13"/>
  <c r="AA302" i="13"/>
  <c r="AA109" i="13"/>
  <c r="AA184" i="13"/>
  <c r="AA381" i="13"/>
  <c r="AA124" i="13"/>
  <c r="AA211" i="13"/>
  <c r="AA57" i="13"/>
  <c r="AA241" i="13"/>
  <c r="AA295" i="13"/>
  <c r="AA52" i="13"/>
  <c r="AA96" i="13"/>
  <c r="AA266" i="13"/>
  <c r="AA40" i="13"/>
  <c r="AA356" i="13"/>
  <c r="AA169" i="13"/>
  <c r="AA178" i="13"/>
  <c r="AA340" i="13"/>
  <c r="K43" i="13"/>
  <c r="J43" i="13"/>
  <c r="I43" i="13"/>
  <c r="H43" i="13"/>
  <c r="G43" i="13"/>
  <c r="F43" i="13"/>
  <c r="E43" i="13"/>
  <c r="D43" i="13"/>
  <c r="C43" i="13"/>
  <c r="B43" i="13"/>
  <c r="A43" i="13"/>
  <c r="B384" i="13"/>
  <c r="J384" i="13"/>
  <c r="H384" i="13"/>
  <c r="G384" i="13"/>
  <c r="F384" i="13"/>
  <c r="E384" i="13"/>
  <c r="D384" i="13"/>
  <c r="C384" i="13"/>
  <c r="A384" i="13"/>
  <c r="K384" i="13"/>
  <c r="I384" i="13"/>
  <c r="K310" i="13"/>
  <c r="I310" i="13"/>
  <c r="K74" i="13"/>
  <c r="J74" i="13"/>
  <c r="I74" i="13"/>
  <c r="H74" i="13"/>
  <c r="G74" i="13"/>
  <c r="F74" i="13"/>
  <c r="E74" i="13"/>
  <c r="D74" i="13"/>
  <c r="C74" i="13"/>
  <c r="B74" i="13"/>
  <c r="A74" i="13"/>
  <c r="AA389" i="13"/>
  <c r="AA89" i="13"/>
  <c r="AA50" i="13"/>
  <c r="AA307" i="13"/>
  <c r="AA403" i="13"/>
  <c r="AA91" i="13"/>
  <c r="AA397" i="13"/>
  <c r="AA125" i="13"/>
  <c r="AA251" i="13"/>
  <c r="AA85" i="13"/>
  <c r="AA239" i="13"/>
  <c r="AA274" i="13"/>
  <c r="AA49" i="13"/>
  <c r="AA366" i="13"/>
  <c r="AA22" i="13"/>
  <c r="AA327" i="13"/>
  <c r="AA38" i="13"/>
  <c r="AA398" i="13"/>
  <c r="AQ246" i="14"/>
  <c r="AP246" i="14"/>
  <c r="AO246" i="14"/>
  <c r="AN246" i="14"/>
  <c r="AM246" i="14"/>
  <c r="AL246" i="14"/>
  <c r="AA245" i="13"/>
  <c r="K79" i="13"/>
  <c r="J79" i="13"/>
  <c r="I79" i="13"/>
  <c r="H79" i="13"/>
  <c r="G79" i="13"/>
  <c r="F79" i="13"/>
  <c r="E79" i="13"/>
  <c r="C79" i="13"/>
  <c r="D79" i="13"/>
  <c r="B79" i="13"/>
  <c r="A79" i="13"/>
  <c r="K371" i="13"/>
  <c r="F371" i="13"/>
  <c r="B371" i="13"/>
  <c r="A371" i="13"/>
  <c r="J371" i="13"/>
  <c r="I371" i="13"/>
  <c r="H371" i="13"/>
  <c r="G371" i="13"/>
  <c r="E371" i="13"/>
  <c r="C371" i="13"/>
  <c r="D371" i="13"/>
  <c r="C64" i="13"/>
  <c r="B64" i="13"/>
  <c r="A64" i="13"/>
  <c r="J64" i="13"/>
  <c r="K64" i="13"/>
  <c r="I64" i="13"/>
  <c r="H64" i="13"/>
  <c r="G64" i="13"/>
  <c r="F64" i="13"/>
  <c r="E64" i="13"/>
  <c r="D64" i="13"/>
  <c r="AA351" i="13"/>
  <c r="AA321" i="13"/>
  <c r="AA219" i="13"/>
  <c r="AA19" i="13"/>
  <c r="AA249" i="13"/>
  <c r="AA69" i="13"/>
  <c r="AA257" i="13"/>
  <c r="AA382" i="13"/>
  <c r="AA149" i="13"/>
  <c r="AA292" i="13"/>
  <c r="AA73" i="13"/>
  <c r="AA195" i="13"/>
  <c r="AA152" i="13"/>
  <c r="AA191" i="13"/>
  <c r="AA291" i="13"/>
  <c r="AA146" i="13"/>
  <c r="AA337" i="13"/>
  <c r="AA194" i="13"/>
  <c r="AA413" i="13"/>
  <c r="AA228" i="13"/>
  <c r="AA411" i="13"/>
  <c r="K158" i="13"/>
  <c r="J158" i="13"/>
  <c r="I158" i="13"/>
  <c r="F158" i="13"/>
  <c r="H158" i="13"/>
  <c r="G158" i="13"/>
  <c r="E158" i="13"/>
  <c r="D158" i="13"/>
  <c r="C158" i="13"/>
  <c r="B158" i="13"/>
  <c r="A158" i="13"/>
  <c r="K137" i="13"/>
  <c r="J137" i="13"/>
  <c r="I137" i="13"/>
  <c r="G137" i="13"/>
  <c r="H137" i="13"/>
  <c r="F137" i="13"/>
  <c r="E137" i="13"/>
  <c r="D137" i="13"/>
  <c r="C137" i="13"/>
  <c r="B137" i="13"/>
  <c r="A137" i="13"/>
  <c r="K126" i="13"/>
  <c r="J126" i="13"/>
  <c r="I126" i="13"/>
  <c r="H126" i="13"/>
  <c r="G126" i="13"/>
  <c r="F126" i="13"/>
  <c r="E126" i="13"/>
  <c r="D126" i="13"/>
  <c r="C126" i="13"/>
  <c r="B126" i="13"/>
  <c r="A126" i="13"/>
  <c r="C333" i="13"/>
  <c r="A333" i="13"/>
  <c r="I333" i="13"/>
  <c r="H333" i="13"/>
  <c r="G333" i="13"/>
  <c r="F333" i="13"/>
  <c r="E333" i="13"/>
  <c r="D333" i="13"/>
  <c r="B269" i="13"/>
  <c r="A269" i="13"/>
  <c r="K269" i="13"/>
  <c r="J269" i="13"/>
  <c r="I269" i="13"/>
  <c r="H269" i="13"/>
  <c r="G269" i="13"/>
  <c r="F269" i="13"/>
  <c r="E269" i="13"/>
  <c r="D269" i="13"/>
  <c r="C269" i="13"/>
  <c r="AA106" i="13"/>
  <c r="AA267" i="13"/>
  <c r="AA258" i="13"/>
  <c r="AA358" i="13"/>
  <c r="AA222" i="13"/>
  <c r="AA237" i="13"/>
  <c r="AA23" i="13"/>
  <c r="AA135" i="13"/>
  <c r="AA15" i="13"/>
  <c r="AA312" i="13"/>
  <c r="AA409" i="13"/>
  <c r="AA179" i="13"/>
  <c r="AA300" i="13"/>
  <c r="AA37" i="13"/>
  <c r="AA224" i="13"/>
  <c r="AA33" i="13"/>
  <c r="AA286" i="13"/>
  <c r="AA202" i="13"/>
  <c r="AA44" i="13"/>
  <c r="AA272" i="13"/>
  <c r="AA279" i="13"/>
  <c r="AA294" i="13"/>
  <c r="AA242" i="13"/>
  <c r="AA104" i="13"/>
  <c r="D353" i="13" l="1"/>
  <c r="I353" i="13"/>
  <c r="J353" i="13"/>
  <c r="B83" i="13"/>
  <c r="K353" i="13"/>
  <c r="AA20" i="3"/>
  <c r="A20" i="3" s="1"/>
  <c r="A353" i="13"/>
  <c r="A166" i="13"/>
  <c r="B353" i="13"/>
  <c r="B166" i="13"/>
  <c r="C353" i="13"/>
  <c r="C166" i="13"/>
  <c r="D166" i="13"/>
  <c r="AA25" i="12"/>
  <c r="D25" i="12" s="1"/>
  <c r="D94" i="13"/>
  <c r="E166" i="13"/>
  <c r="C342" i="13"/>
  <c r="E94" i="13"/>
  <c r="H166" i="13"/>
  <c r="F94" i="13"/>
  <c r="G94" i="13"/>
  <c r="E353" i="13"/>
  <c r="F342" i="13"/>
  <c r="H94" i="13"/>
  <c r="F353" i="13"/>
  <c r="I94" i="13"/>
  <c r="AA45" i="3"/>
  <c r="D83" i="13"/>
  <c r="AA31" i="3"/>
  <c r="J99" i="13"/>
  <c r="J333" i="13"/>
  <c r="K333" i="13"/>
  <c r="AA37" i="12"/>
  <c r="A37" i="12" s="1"/>
  <c r="C83" i="13"/>
  <c r="K99" i="13"/>
  <c r="AA41" i="3"/>
  <c r="F41" i="3" s="1"/>
  <c r="E83" i="13"/>
  <c r="AA34" i="3"/>
  <c r="E34" i="3" s="1"/>
  <c r="F83" i="13"/>
  <c r="G83" i="13"/>
  <c r="H83" i="13"/>
  <c r="I83" i="13"/>
  <c r="J83" i="13"/>
  <c r="A99" i="13"/>
  <c r="K83" i="13"/>
  <c r="B99" i="13"/>
  <c r="F141" i="13"/>
  <c r="C99" i="13"/>
  <c r="I364" i="13"/>
  <c r="E99" i="13"/>
  <c r="A364" i="13"/>
  <c r="G99" i="13"/>
  <c r="J310" i="13"/>
  <c r="I349" i="13"/>
  <c r="F316" i="13"/>
  <c r="A217" i="13"/>
  <c r="G141" i="13"/>
  <c r="C310" i="13"/>
  <c r="A310" i="13"/>
  <c r="A349" i="13"/>
  <c r="B316" i="13"/>
  <c r="F313" i="13"/>
  <c r="AA47" i="3"/>
  <c r="B47" i="3" s="1"/>
  <c r="K141" i="13"/>
  <c r="B310" i="13"/>
  <c r="B349" i="13"/>
  <c r="C316" i="13"/>
  <c r="G313" i="13"/>
  <c r="AA24" i="12"/>
  <c r="E24" i="12" s="1"/>
  <c r="C349" i="13"/>
  <c r="A51" i="3"/>
  <c r="D316" i="13"/>
  <c r="G310" i="13"/>
  <c r="G316" i="13"/>
  <c r="AA38" i="12"/>
  <c r="B38" i="12" s="1"/>
  <c r="H313" i="13"/>
  <c r="F310" i="13"/>
  <c r="J313" i="13"/>
  <c r="E217" i="13"/>
  <c r="I316" i="13"/>
  <c r="K313" i="13"/>
  <c r="F217" i="13"/>
  <c r="AA22" i="3"/>
  <c r="B22" i="3" s="1"/>
  <c r="C364" i="13"/>
  <c r="G166" i="13"/>
  <c r="K349" i="13"/>
  <c r="I313" i="13"/>
  <c r="J316" i="13"/>
  <c r="A141" i="13"/>
  <c r="D364" i="13"/>
  <c r="K283" i="13"/>
  <c r="E316" i="13"/>
  <c r="A313" i="13"/>
  <c r="G217" i="13"/>
  <c r="AA19" i="3"/>
  <c r="C19" i="3" s="1"/>
  <c r="AA23" i="3"/>
  <c r="F23" i="3" s="1"/>
  <c r="K316" i="13"/>
  <c r="B313" i="13"/>
  <c r="H217" i="13"/>
  <c r="B141" i="13"/>
  <c r="E364" i="13"/>
  <c r="F166" i="13"/>
  <c r="A283" i="13"/>
  <c r="I141" i="13"/>
  <c r="I217" i="13"/>
  <c r="C141" i="13"/>
  <c r="F364" i="13"/>
  <c r="I166" i="13"/>
  <c r="B283" i="13"/>
  <c r="J141" i="13"/>
  <c r="K217" i="13"/>
  <c r="D141" i="13"/>
  <c r="G364" i="13"/>
  <c r="J166" i="13"/>
  <c r="C283" i="13"/>
  <c r="J349" i="13"/>
  <c r="H316" i="13"/>
  <c r="E349" i="13"/>
  <c r="D310" i="13"/>
  <c r="F349" i="13"/>
  <c r="AA39" i="3"/>
  <c r="F39" i="3" s="1"/>
  <c r="C217" i="13"/>
  <c r="H141" i="13"/>
  <c r="H364" i="13"/>
  <c r="D283" i="13"/>
  <c r="E310" i="13"/>
  <c r="D349" i="13"/>
  <c r="AA46" i="3"/>
  <c r="A46" i="3" s="1"/>
  <c r="E25" i="12"/>
  <c r="C25" i="12"/>
  <c r="F25" i="12"/>
  <c r="A25" i="12"/>
  <c r="C37" i="12"/>
  <c r="D41" i="3"/>
  <c r="F24" i="12"/>
  <c r="D24" i="12"/>
  <c r="E20" i="3"/>
  <c r="J398" i="13"/>
  <c r="H398" i="13"/>
  <c r="G398" i="13"/>
  <c r="B398" i="13"/>
  <c r="A398" i="13"/>
  <c r="K398" i="13"/>
  <c r="I398" i="13"/>
  <c r="F398" i="13"/>
  <c r="E398" i="13"/>
  <c r="D398" i="13"/>
  <c r="C398" i="13"/>
  <c r="K30" i="13"/>
  <c r="J30" i="13"/>
  <c r="I30" i="13"/>
  <c r="G30" i="13"/>
  <c r="F30" i="13"/>
  <c r="H30" i="13"/>
  <c r="E30" i="13"/>
  <c r="D30" i="13"/>
  <c r="C30" i="13"/>
  <c r="B30" i="13"/>
  <c r="A30" i="13"/>
  <c r="B34" i="3"/>
  <c r="J219" i="13"/>
  <c r="I219" i="13"/>
  <c r="G219" i="13"/>
  <c r="B219" i="13"/>
  <c r="K219" i="13"/>
  <c r="H219" i="13"/>
  <c r="F219" i="13"/>
  <c r="E219" i="13"/>
  <c r="D219" i="13"/>
  <c r="C219" i="13"/>
  <c r="A219" i="13"/>
  <c r="G136" i="13"/>
  <c r="F136" i="13"/>
  <c r="E136" i="13"/>
  <c r="C136" i="13"/>
  <c r="K136" i="13"/>
  <c r="J136" i="13"/>
  <c r="I136" i="13"/>
  <c r="H136" i="13"/>
  <c r="D136" i="13"/>
  <c r="B136" i="13"/>
  <c r="A136" i="13"/>
  <c r="K35" i="13"/>
  <c r="J35" i="13"/>
  <c r="I35" i="13"/>
  <c r="H35" i="13"/>
  <c r="G35" i="13"/>
  <c r="F35" i="13"/>
  <c r="E35" i="13"/>
  <c r="D35" i="13"/>
  <c r="C35" i="13"/>
  <c r="B35" i="13"/>
  <c r="A35" i="13"/>
  <c r="K252" i="13"/>
  <c r="J252" i="13"/>
  <c r="I252" i="13"/>
  <c r="G252" i="13"/>
  <c r="F252" i="13"/>
  <c r="C252" i="13"/>
  <c r="B252" i="13"/>
  <c r="H252" i="13"/>
  <c r="E252" i="13"/>
  <c r="D252" i="13"/>
  <c r="A252" i="13"/>
  <c r="G112" i="13"/>
  <c r="F112" i="13"/>
  <c r="E112" i="13"/>
  <c r="I112" i="13"/>
  <c r="H112" i="13"/>
  <c r="D112" i="13"/>
  <c r="C112" i="13"/>
  <c r="B112" i="13"/>
  <c r="A112" i="13"/>
  <c r="K112" i="13"/>
  <c r="J112" i="13"/>
  <c r="K189" i="13"/>
  <c r="J189" i="13"/>
  <c r="I189" i="13"/>
  <c r="H189" i="13"/>
  <c r="G189" i="13"/>
  <c r="F189" i="13"/>
  <c r="E189" i="13"/>
  <c r="D189" i="13"/>
  <c r="C189" i="13"/>
  <c r="B189" i="13"/>
  <c r="A189" i="13"/>
  <c r="G354" i="13"/>
  <c r="F354" i="13"/>
  <c r="E354" i="13"/>
  <c r="D354" i="13"/>
  <c r="C354" i="13"/>
  <c r="B354" i="13"/>
  <c r="A354" i="13"/>
  <c r="K354" i="13"/>
  <c r="J354" i="13"/>
  <c r="I354" i="13"/>
  <c r="H354" i="13"/>
  <c r="B273" i="13"/>
  <c r="A273" i="13"/>
  <c r="K273" i="13"/>
  <c r="J273" i="13"/>
  <c r="I273" i="13"/>
  <c r="H273" i="13"/>
  <c r="G273" i="13"/>
  <c r="F273" i="13"/>
  <c r="E273" i="13"/>
  <c r="C273" i="13"/>
  <c r="D273" i="13"/>
  <c r="B396" i="13"/>
  <c r="J396" i="13"/>
  <c r="I396" i="13"/>
  <c r="K396" i="13"/>
  <c r="H396" i="13"/>
  <c r="G396" i="13"/>
  <c r="F396" i="13"/>
  <c r="E396" i="13"/>
  <c r="D396" i="13"/>
  <c r="C396" i="13"/>
  <c r="A396" i="13"/>
  <c r="K272" i="13"/>
  <c r="J272" i="13"/>
  <c r="I272" i="13"/>
  <c r="H272" i="13"/>
  <c r="G272" i="13"/>
  <c r="F272" i="13"/>
  <c r="E272" i="13"/>
  <c r="D272" i="13"/>
  <c r="C272" i="13"/>
  <c r="B272" i="13"/>
  <c r="A272" i="13"/>
  <c r="J358" i="13"/>
  <c r="G358" i="13"/>
  <c r="F358" i="13"/>
  <c r="E358" i="13"/>
  <c r="D358" i="13"/>
  <c r="C358" i="13"/>
  <c r="B358" i="13"/>
  <c r="A358" i="13"/>
  <c r="K358" i="13"/>
  <c r="I358" i="13"/>
  <c r="H358" i="13"/>
  <c r="K194" i="13"/>
  <c r="J194" i="13"/>
  <c r="I194" i="13"/>
  <c r="H194" i="13"/>
  <c r="G194" i="13"/>
  <c r="F194" i="13"/>
  <c r="E194" i="13"/>
  <c r="C194" i="13"/>
  <c r="B194" i="13"/>
  <c r="D194" i="13"/>
  <c r="A194" i="13"/>
  <c r="C321" i="13"/>
  <c r="B321" i="13"/>
  <c r="A321" i="13"/>
  <c r="K321" i="13"/>
  <c r="E321" i="13"/>
  <c r="D321" i="13"/>
  <c r="J321" i="13"/>
  <c r="I321" i="13"/>
  <c r="H321" i="13"/>
  <c r="G321" i="13"/>
  <c r="F321" i="13"/>
  <c r="F274" i="13"/>
  <c r="E274" i="13"/>
  <c r="D274" i="13"/>
  <c r="C274" i="13"/>
  <c r="B274" i="13"/>
  <c r="A274" i="13"/>
  <c r="K274" i="13"/>
  <c r="J274" i="13"/>
  <c r="I274" i="13"/>
  <c r="H274" i="13"/>
  <c r="G274" i="13"/>
  <c r="C96" i="13"/>
  <c r="B96" i="13"/>
  <c r="A96" i="13"/>
  <c r="K96" i="13"/>
  <c r="J96" i="13"/>
  <c r="I96" i="13"/>
  <c r="H96" i="13"/>
  <c r="G96" i="13"/>
  <c r="F96" i="13"/>
  <c r="E96" i="13"/>
  <c r="D96" i="13"/>
  <c r="K170" i="13"/>
  <c r="J170" i="13"/>
  <c r="I170" i="13"/>
  <c r="G170" i="13"/>
  <c r="F170" i="13"/>
  <c r="E170" i="13"/>
  <c r="H170" i="13"/>
  <c r="D170" i="13"/>
  <c r="C170" i="13"/>
  <c r="B170" i="13"/>
  <c r="A170" i="13"/>
  <c r="K63" i="13"/>
  <c r="J63" i="13"/>
  <c r="I63" i="13"/>
  <c r="H63" i="13"/>
  <c r="F63" i="13"/>
  <c r="G63" i="13"/>
  <c r="E63" i="13"/>
  <c r="D63" i="13"/>
  <c r="C63" i="13"/>
  <c r="B63" i="13"/>
  <c r="A63" i="13"/>
  <c r="K162" i="13"/>
  <c r="J162" i="13"/>
  <c r="I162" i="13"/>
  <c r="F162" i="13"/>
  <c r="G162" i="13"/>
  <c r="E162" i="13"/>
  <c r="D162" i="13"/>
  <c r="C162" i="13"/>
  <c r="B162" i="13"/>
  <c r="A162" i="13"/>
  <c r="H162" i="13"/>
  <c r="K287" i="13"/>
  <c r="J287" i="13"/>
  <c r="I287" i="13"/>
  <c r="H287" i="13"/>
  <c r="G287" i="13"/>
  <c r="F287" i="13"/>
  <c r="E287" i="13"/>
  <c r="D287" i="13"/>
  <c r="C287" i="13"/>
  <c r="B287" i="13"/>
  <c r="A287" i="13"/>
  <c r="K157" i="13"/>
  <c r="J157" i="13"/>
  <c r="I157" i="13"/>
  <c r="H157" i="13"/>
  <c r="G157" i="13"/>
  <c r="F157" i="13"/>
  <c r="E157" i="13"/>
  <c r="B157" i="13"/>
  <c r="C157" i="13"/>
  <c r="A157" i="13"/>
  <c r="D157" i="13"/>
  <c r="G346" i="13"/>
  <c r="F346" i="13"/>
  <c r="E346" i="13"/>
  <c r="D346" i="13"/>
  <c r="C346" i="13"/>
  <c r="B346" i="13"/>
  <c r="A346" i="13"/>
  <c r="K346" i="13"/>
  <c r="J346" i="13"/>
  <c r="I346" i="13"/>
  <c r="H346" i="13"/>
  <c r="B229" i="13"/>
  <c r="A229" i="13"/>
  <c r="J229" i="13"/>
  <c r="K229" i="13"/>
  <c r="I229" i="13"/>
  <c r="H229" i="13"/>
  <c r="G229" i="13"/>
  <c r="F229" i="13"/>
  <c r="E229" i="13"/>
  <c r="D229" i="13"/>
  <c r="C229" i="13"/>
  <c r="F250" i="13"/>
  <c r="E250" i="13"/>
  <c r="D250" i="13"/>
  <c r="C250" i="13"/>
  <c r="B250" i="13"/>
  <c r="A250" i="13"/>
  <c r="J250" i="13"/>
  <c r="K250" i="13"/>
  <c r="I250" i="13"/>
  <c r="H250" i="13"/>
  <c r="G250" i="13"/>
  <c r="K58" i="13"/>
  <c r="J58" i="13"/>
  <c r="I58" i="13"/>
  <c r="H58" i="13"/>
  <c r="G58" i="13"/>
  <c r="F58" i="13"/>
  <c r="E58" i="13"/>
  <c r="B58" i="13"/>
  <c r="D58" i="13"/>
  <c r="C58" i="13"/>
  <c r="A58" i="13"/>
  <c r="K323" i="13"/>
  <c r="J323" i="13"/>
  <c r="I323" i="13"/>
  <c r="G323" i="13"/>
  <c r="F323" i="13"/>
  <c r="E323" i="13"/>
  <c r="C323" i="13"/>
  <c r="B323" i="13"/>
  <c r="A323" i="13"/>
  <c r="H323" i="13"/>
  <c r="D323" i="13"/>
  <c r="K46" i="13"/>
  <c r="J46" i="13"/>
  <c r="I46" i="13"/>
  <c r="H46" i="13"/>
  <c r="G46" i="13"/>
  <c r="F46" i="13"/>
  <c r="B46" i="13"/>
  <c r="E46" i="13"/>
  <c r="D46" i="13"/>
  <c r="C46" i="13"/>
  <c r="A46" i="13"/>
  <c r="K190" i="13"/>
  <c r="J190" i="13"/>
  <c r="I190" i="13"/>
  <c r="H190" i="13"/>
  <c r="G190" i="13"/>
  <c r="F190" i="13"/>
  <c r="E190" i="13"/>
  <c r="A190" i="13"/>
  <c r="D190" i="13"/>
  <c r="C190" i="13"/>
  <c r="B190" i="13"/>
  <c r="K248" i="13"/>
  <c r="J248" i="13"/>
  <c r="I248" i="13"/>
  <c r="F248" i="13"/>
  <c r="B248" i="13"/>
  <c r="H248" i="13"/>
  <c r="G248" i="13"/>
  <c r="E248" i="13"/>
  <c r="D248" i="13"/>
  <c r="C248" i="13"/>
  <c r="A248" i="13"/>
  <c r="C147" i="13"/>
  <c r="B147" i="13"/>
  <c r="A147" i="13"/>
  <c r="K147" i="13"/>
  <c r="J147" i="13"/>
  <c r="I147" i="13"/>
  <c r="H147" i="13"/>
  <c r="G147" i="13"/>
  <c r="F147" i="13"/>
  <c r="E147" i="13"/>
  <c r="D147" i="13"/>
  <c r="G204" i="13"/>
  <c r="F204" i="13"/>
  <c r="E204" i="13"/>
  <c r="D204" i="13"/>
  <c r="C204" i="13"/>
  <c r="B204" i="13"/>
  <c r="A204" i="13"/>
  <c r="K204" i="13"/>
  <c r="J204" i="13"/>
  <c r="I204" i="13"/>
  <c r="H204" i="13"/>
  <c r="J231" i="13"/>
  <c r="I231" i="13"/>
  <c r="G231" i="13"/>
  <c r="F231" i="13"/>
  <c r="B231" i="13"/>
  <c r="K231" i="13"/>
  <c r="H231" i="13"/>
  <c r="E231" i="13"/>
  <c r="D231" i="13"/>
  <c r="C231" i="13"/>
  <c r="A231" i="13"/>
  <c r="K78" i="13"/>
  <c r="J78" i="13"/>
  <c r="I78" i="13"/>
  <c r="H78" i="13"/>
  <c r="G78" i="13"/>
  <c r="F78" i="13"/>
  <c r="E78" i="13"/>
  <c r="D78" i="13"/>
  <c r="C78" i="13"/>
  <c r="B78" i="13"/>
  <c r="A78" i="13"/>
  <c r="C155" i="13"/>
  <c r="B155" i="13"/>
  <c r="A155" i="13"/>
  <c r="J155" i="13"/>
  <c r="K155" i="13"/>
  <c r="I155" i="13"/>
  <c r="H155" i="13"/>
  <c r="G155" i="13"/>
  <c r="F155" i="13"/>
  <c r="E155" i="13"/>
  <c r="D155" i="13"/>
  <c r="G330" i="13"/>
  <c r="F330" i="13"/>
  <c r="E330" i="13"/>
  <c r="D330" i="13"/>
  <c r="C330" i="13"/>
  <c r="B330" i="13"/>
  <c r="A330" i="13"/>
  <c r="K330" i="13"/>
  <c r="J330" i="13"/>
  <c r="I330" i="13"/>
  <c r="H330" i="13"/>
  <c r="K51" i="13"/>
  <c r="J51" i="13"/>
  <c r="I51" i="13"/>
  <c r="F51" i="13"/>
  <c r="G51" i="13"/>
  <c r="E51" i="13"/>
  <c r="D51" i="13"/>
  <c r="C51" i="13"/>
  <c r="B51" i="13"/>
  <c r="A51" i="13"/>
  <c r="H51" i="13"/>
  <c r="K118" i="13"/>
  <c r="J118" i="13"/>
  <c r="I118" i="13"/>
  <c r="H118" i="13"/>
  <c r="G118" i="13"/>
  <c r="F118" i="13"/>
  <c r="E118" i="13"/>
  <c r="D118" i="13"/>
  <c r="C118" i="13"/>
  <c r="B118" i="13"/>
  <c r="A118" i="13"/>
  <c r="G334" i="13"/>
  <c r="F334" i="13"/>
  <c r="E334" i="13"/>
  <c r="D334" i="13"/>
  <c r="C334" i="13"/>
  <c r="B334" i="13"/>
  <c r="A334" i="13"/>
  <c r="I334" i="13"/>
  <c r="H334" i="13"/>
  <c r="K334" i="13"/>
  <c r="J334" i="13"/>
  <c r="AA21" i="3"/>
  <c r="G89" i="13"/>
  <c r="F89" i="13"/>
  <c r="E89" i="13"/>
  <c r="D89" i="13"/>
  <c r="C89" i="13"/>
  <c r="B89" i="13"/>
  <c r="A89" i="13"/>
  <c r="K89" i="13"/>
  <c r="J89" i="13"/>
  <c r="I89" i="13"/>
  <c r="H89" i="13"/>
  <c r="K178" i="13"/>
  <c r="J178" i="13"/>
  <c r="I178" i="13"/>
  <c r="G178" i="13"/>
  <c r="F178" i="13"/>
  <c r="E178" i="13"/>
  <c r="B178" i="13"/>
  <c r="A178" i="13"/>
  <c r="H178" i="13"/>
  <c r="D178" i="13"/>
  <c r="C178" i="13"/>
  <c r="G101" i="13"/>
  <c r="F101" i="13"/>
  <c r="E101" i="13"/>
  <c r="D101" i="13"/>
  <c r="C101" i="13"/>
  <c r="B101" i="13"/>
  <c r="A101" i="13"/>
  <c r="K101" i="13"/>
  <c r="J101" i="13"/>
  <c r="I101" i="13"/>
  <c r="H101" i="13"/>
  <c r="K411" i="13"/>
  <c r="H411" i="13"/>
  <c r="F411" i="13"/>
  <c r="E411" i="13"/>
  <c r="J411" i="13"/>
  <c r="I411" i="13"/>
  <c r="G411" i="13"/>
  <c r="D411" i="13"/>
  <c r="C411" i="13"/>
  <c r="B411" i="13"/>
  <c r="A411" i="13"/>
  <c r="K244" i="13"/>
  <c r="J244" i="13"/>
  <c r="I244" i="13"/>
  <c r="F244" i="13"/>
  <c r="G244" i="13"/>
  <c r="E244" i="13"/>
  <c r="D244" i="13"/>
  <c r="C244" i="13"/>
  <c r="B244" i="13"/>
  <c r="A244" i="13"/>
  <c r="H244" i="13"/>
  <c r="F242" i="13"/>
  <c r="E242" i="13"/>
  <c r="C242" i="13"/>
  <c r="B242" i="13"/>
  <c r="A242" i="13"/>
  <c r="H242" i="13"/>
  <c r="G242" i="13"/>
  <c r="D242" i="13"/>
  <c r="K242" i="13"/>
  <c r="J242" i="13"/>
  <c r="I242" i="13"/>
  <c r="J394" i="13"/>
  <c r="H394" i="13"/>
  <c r="G394" i="13"/>
  <c r="B394" i="13"/>
  <c r="A394" i="13"/>
  <c r="K394" i="13"/>
  <c r="I394" i="13"/>
  <c r="F394" i="13"/>
  <c r="E394" i="13"/>
  <c r="D394" i="13"/>
  <c r="C394" i="13"/>
  <c r="K363" i="13"/>
  <c r="B363" i="13"/>
  <c r="A363" i="13"/>
  <c r="J363" i="13"/>
  <c r="I363" i="13"/>
  <c r="H363" i="13"/>
  <c r="G363" i="13"/>
  <c r="F363" i="13"/>
  <c r="E363" i="13"/>
  <c r="D363" i="13"/>
  <c r="C363" i="13"/>
  <c r="AA27" i="3"/>
  <c r="F413" i="13"/>
  <c r="E413" i="13"/>
  <c r="D413" i="13"/>
  <c r="C413" i="13"/>
  <c r="G413" i="13"/>
  <c r="B413" i="13"/>
  <c r="A413" i="13"/>
  <c r="K413" i="13"/>
  <c r="J413" i="13"/>
  <c r="I413" i="13"/>
  <c r="H413" i="13"/>
  <c r="F218" i="13"/>
  <c r="E218" i="13"/>
  <c r="C218" i="13"/>
  <c r="K218" i="13"/>
  <c r="J218" i="13"/>
  <c r="I218" i="13"/>
  <c r="H218" i="13"/>
  <c r="G218" i="13"/>
  <c r="D218" i="13"/>
  <c r="B218" i="13"/>
  <c r="A218" i="13"/>
  <c r="C44" i="13"/>
  <c r="B44" i="13"/>
  <c r="A44" i="13"/>
  <c r="H44" i="13"/>
  <c r="G44" i="13"/>
  <c r="F44" i="13"/>
  <c r="E44" i="13"/>
  <c r="D44" i="13"/>
  <c r="K44" i="13"/>
  <c r="J44" i="13"/>
  <c r="I44" i="13"/>
  <c r="AA42" i="12"/>
  <c r="K351" i="13"/>
  <c r="J351" i="13"/>
  <c r="I351" i="13"/>
  <c r="H351" i="13"/>
  <c r="G351" i="13"/>
  <c r="F351" i="13"/>
  <c r="E351" i="13"/>
  <c r="D351" i="13"/>
  <c r="C351" i="13"/>
  <c r="B351" i="13"/>
  <c r="A351" i="13"/>
  <c r="C52" i="13"/>
  <c r="B52" i="13"/>
  <c r="A52" i="13"/>
  <c r="J52" i="13"/>
  <c r="K52" i="13"/>
  <c r="I52" i="13"/>
  <c r="H52" i="13"/>
  <c r="G52" i="13"/>
  <c r="F52" i="13"/>
  <c r="E52" i="13"/>
  <c r="D52" i="13"/>
  <c r="C48" i="13"/>
  <c r="B48" i="13"/>
  <c r="A48" i="13"/>
  <c r="J48" i="13"/>
  <c r="K48" i="13"/>
  <c r="I48" i="13"/>
  <c r="H48" i="13"/>
  <c r="G48" i="13"/>
  <c r="F48" i="13"/>
  <c r="E48" i="13"/>
  <c r="D48" i="13"/>
  <c r="K320" i="13"/>
  <c r="J320" i="13"/>
  <c r="I320" i="13"/>
  <c r="G320" i="13"/>
  <c r="H320" i="13"/>
  <c r="F320" i="13"/>
  <c r="E320" i="13"/>
  <c r="D320" i="13"/>
  <c r="C320" i="13"/>
  <c r="B320" i="13"/>
  <c r="A320" i="13"/>
  <c r="B261" i="13"/>
  <c r="A261" i="13"/>
  <c r="K261" i="13"/>
  <c r="J261" i="13"/>
  <c r="I261" i="13"/>
  <c r="G261" i="13"/>
  <c r="F261" i="13"/>
  <c r="E261" i="13"/>
  <c r="H261" i="13"/>
  <c r="D261" i="13"/>
  <c r="C261" i="13"/>
  <c r="B221" i="13"/>
  <c r="A221" i="13"/>
  <c r="J221" i="13"/>
  <c r="K221" i="13"/>
  <c r="I221" i="13"/>
  <c r="H221" i="13"/>
  <c r="G221" i="13"/>
  <c r="F221" i="13"/>
  <c r="E221" i="13"/>
  <c r="D221" i="13"/>
  <c r="C221" i="13"/>
  <c r="G322" i="13"/>
  <c r="F322" i="13"/>
  <c r="E322" i="13"/>
  <c r="C322" i="13"/>
  <c r="B322" i="13"/>
  <c r="A322" i="13"/>
  <c r="K322" i="13"/>
  <c r="J322" i="13"/>
  <c r="I322" i="13"/>
  <c r="H322" i="13"/>
  <c r="D322" i="13"/>
  <c r="AA36" i="12"/>
  <c r="C309" i="13"/>
  <c r="B309" i="13"/>
  <c r="A309" i="13"/>
  <c r="K309" i="13"/>
  <c r="J309" i="13"/>
  <c r="I309" i="13"/>
  <c r="H309" i="13"/>
  <c r="G309" i="13"/>
  <c r="F309" i="13"/>
  <c r="E309" i="13"/>
  <c r="D309" i="13"/>
  <c r="K185" i="13"/>
  <c r="J185" i="13"/>
  <c r="I185" i="13"/>
  <c r="H185" i="13"/>
  <c r="G185" i="13"/>
  <c r="F185" i="13"/>
  <c r="E185" i="13"/>
  <c r="D185" i="13"/>
  <c r="C185" i="13"/>
  <c r="B185" i="13"/>
  <c r="A185" i="13"/>
  <c r="J374" i="13"/>
  <c r="G374" i="13"/>
  <c r="B374" i="13"/>
  <c r="E374" i="13"/>
  <c r="D374" i="13"/>
  <c r="C374" i="13"/>
  <c r="A374" i="13"/>
  <c r="K374" i="13"/>
  <c r="I374" i="13"/>
  <c r="F374" i="13"/>
  <c r="H374" i="13"/>
  <c r="C84" i="13"/>
  <c r="B84" i="13"/>
  <c r="A84" i="13"/>
  <c r="K84" i="13"/>
  <c r="J84" i="13"/>
  <c r="I84" i="13"/>
  <c r="G84" i="13"/>
  <c r="H84" i="13"/>
  <c r="F84" i="13"/>
  <c r="E84" i="13"/>
  <c r="D84" i="13"/>
  <c r="B209" i="13"/>
  <c r="A209" i="13"/>
  <c r="K209" i="13"/>
  <c r="J209" i="13"/>
  <c r="I209" i="13"/>
  <c r="H209" i="13"/>
  <c r="G209" i="13"/>
  <c r="F209" i="13"/>
  <c r="E209" i="13"/>
  <c r="D209" i="13"/>
  <c r="C209" i="13"/>
  <c r="B233" i="13"/>
  <c r="A233" i="13"/>
  <c r="J233" i="13"/>
  <c r="K233" i="13"/>
  <c r="I233" i="13"/>
  <c r="H233" i="13"/>
  <c r="G233" i="13"/>
  <c r="F233" i="13"/>
  <c r="E233" i="13"/>
  <c r="D233" i="13"/>
  <c r="C233" i="13"/>
  <c r="B404" i="13"/>
  <c r="J404" i="13"/>
  <c r="I404" i="13"/>
  <c r="A404" i="13"/>
  <c r="K404" i="13"/>
  <c r="H404" i="13"/>
  <c r="G404" i="13"/>
  <c r="F404" i="13"/>
  <c r="E404" i="13"/>
  <c r="D404" i="13"/>
  <c r="C404" i="13"/>
  <c r="C88" i="13"/>
  <c r="B88" i="13"/>
  <c r="A88" i="13"/>
  <c r="K88" i="13"/>
  <c r="J88" i="13"/>
  <c r="I88" i="13"/>
  <c r="G88" i="13"/>
  <c r="F88" i="13"/>
  <c r="E88" i="13"/>
  <c r="H88" i="13"/>
  <c r="D88" i="13"/>
  <c r="E45" i="3"/>
  <c r="B45" i="3"/>
  <c r="A45" i="3"/>
  <c r="D45" i="3"/>
  <c r="C45" i="3"/>
  <c r="F45" i="3"/>
  <c r="K70" i="13"/>
  <c r="J70" i="13"/>
  <c r="I70" i="13"/>
  <c r="H70" i="13"/>
  <c r="G70" i="13"/>
  <c r="F70" i="13"/>
  <c r="E70" i="13"/>
  <c r="D70" i="13"/>
  <c r="C70" i="13"/>
  <c r="B70" i="13"/>
  <c r="A70" i="13"/>
  <c r="C20" i="13"/>
  <c r="B20" i="13"/>
  <c r="A20" i="13"/>
  <c r="K20" i="13"/>
  <c r="J20" i="13"/>
  <c r="I20" i="13"/>
  <c r="H20" i="13"/>
  <c r="G20" i="13"/>
  <c r="F20" i="13"/>
  <c r="E20" i="13"/>
  <c r="D20" i="13"/>
  <c r="C337" i="13"/>
  <c r="B337" i="13"/>
  <c r="A337" i="13"/>
  <c r="K337" i="13"/>
  <c r="J337" i="13"/>
  <c r="I337" i="13"/>
  <c r="H337" i="13"/>
  <c r="G337" i="13"/>
  <c r="F337" i="13"/>
  <c r="E337" i="13"/>
  <c r="D337" i="13"/>
  <c r="J239" i="13"/>
  <c r="I239" i="13"/>
  <c r="G239" i="13"/>
  <c r="F239" i="13"/>
  <c r="E239" i="13"/>
  <c r="B239" i="13"/>
  <c r="K239" i="13"/>
  <c r="H239" i="13"/>
  <c r="D239" i="13"/>
  <c r="C239" i="13"/>
  <c r="A239" i="13"/>
  <c r="K31" i="13"/>
  <c r="J31" i="13"/>
  <c r="A31" i="13"/>
  <c r="I31" i="13"/>
  <c r="H31" i="13"/>
  <c r="G31" i="13"/>
  <c r="F31" i="13"/>
  <c r="E31" i="13"/>
  <c r="D31" i="13"/>
  <c r="C31" i="13"/>
  <c r="B31" i="13"/>
  <c r="K71" i="13"/>
  <c r="J71" i="13"/>
  <c r="I71" i="13"/>
  <c r="H71" i="13"/>
  <c r="G71" i="13"/>
  <c r="F71" i="13"/>
  <c r="E71" i="13"/>
  <c r="C71" i="13"/>
  <c r="D71" i="13"/>
  <c r="B71" i="13"/>
  <c r="A71" i="13"/>
  <c r="K87" i="13"/>
  <c r="J87" i="13"/>
  <c r="I87" i="13"/>
  <c r="H87" i="13"/>
  <c r="G87" i="13"/>
  <c r="F87" i="13"/>
  <c r="E87" i="13"/>
  <c r="C87" i="13"/>
  <c r="B87" i="13"/>
  <c r="A87" i="13"/>
  <c r="D87" i="13"/>
  <c r="AA32" i="3"/>
  <c r="K202" i="13"/>
  <c r="J202" i="13"/>
  <c r="I202" i="13"/>
  <c r="H202" i="13"/>
  <c r="G202" i="13"/>
  <c r="F202" i="13"/>
  <c r="E202" i="13"/>
  <c r="D202" i="13"/>
  <c r="C202" i="13"/>
  <c r="B202" i="13"/>
  <c r="A202" i="13"/>
  <c r="F258" i="13"/>
  <c r="E258" i="13"/>
  <c r="D258" i="13"/>
  <c r="C258" i="13"/>
  <c r="B258" i="13"/>
  <c r="A258" i="13"/>
  <c r="K258" i="13"/>
  <c r="J258" i="13"/>
  <c r="I258" i="13"/>
  <c r="H258" i="13"/>
  <c r="G258" i="13"/>
  <c r="K146" i="13"/>
  <c r="J146" i="13"/>
  <c r="I146" i="13"/>
  <c r="B146" i="13"/>
  <c r="A146" i="13"/>
  <c r="H146" i="13"/>
  <c r="G146" i="13"/>
  <c r="F146" i="13"/>
  <c r="E146" i="13"/>
  <c r="D146" i="13"/>
  <c r="C146" i="13"/>
  <c r="G85" i="13"/>
  <c r="F85" i="13"/>
  <c r="E85" i="13"/>
  <c r="D85" i="13"/>
  <c r="C85" i="13"/>
  <c r="B85" i="13"/>
  <c r="A85" i="13"/>
  <c r="K85" i="13"/>
  <c r="I85" i="13"/>
  <c r="J85" i="13"/>
  <c r="H85" i="13"/>
  <c r="K295" i="13"/>
  <c r="J295" i="13"/>
  <c r="I295" i="13"/>
  <c r="H295" i="13"/>
  <c r="G295" i="13"/>
  <c r="F295" i="13"/>
  <c r="E295" i="13"/>
  <c r="D295" i="13"/>
  <c r="C295" i="13"/>
  <c r="B295" i="13"/>
  <c r="A295" i="13"/>
  <c r="C285" i="13"/>
  <c r="B285" i="13"/>
  <c r="A285" i="13"/>
  <c r="K285" i="13"/>
  <c r="J285" i="13"/>
  <c r="I285" i="13"/>
  <c r="H285" i="13"/>
  <c r="G285" i="13"/>
  <c r="F285" i="13"/>
  <c r="E285" i="13"/>
  <c r="D285" i="13"/>
  <c r="C329" i="13"/>
  <c r="B329" i="13"/>
  <c r="A329" i="13"/>
  <c r="K329" i="13"/>
  <c r="J329" i="13"/>
  <c r="I329" i="13"/>
  <c r="H329" i="13"/>
  <c r="G329" i="13"/>
  <c r="F329" i="13"/>
  <c r="E329" i="13"/>
  <c r="D329" i="13"/>
  <c r="G296" i="13"/>
  <c r="F296" i="13"/>
  <c r="E296" i="13"/>
  <c r="D296" i="13"/>
  <c r="C296" i="13"/>
  <c r="B296" i="13"/>
  <c r="A296" i="13"/>
  <c r="K296" i="13"/>
  <c r="J296" i="13"/>
  <c r="I296" i="13"/>
  <c r="H296" i="13"/>
  <c r="AA49" i="3"/>
  <c r="K399" i="13"/>
  <c r="F399" i="13"/>
  <c r="E399" i="13"/>
  <c r="I399" i="13"/>
  <c r="H399" i="13"/>
  <c r="G399" i="13"/>
  <c r="D399" i="13"/>
  <c r="C399" i="13"/>
  <c r="B399" i="13"/>
  <c r="A399" i="13"/>
  <c r="J399" i="13"/>
  <c r="C175" i="13"/>
  <c r="B175" i="13"/>
  <c r="A175" i="13"/>
  <c r="K175" i="13"/>
  <c r="J175" i="13"/>
  <c r="I175" i="13"/>
  <c r="H175" i="13"/>
  <c r="G175" i="13"/>
  <c r="F175" i="13"/>
  <c r="E175" i="13"/>
  <c r="D175" i="13"/>
  <c r="K134" i="13"/>
  <c r="D134" i="13"/>
  <c r="C134" i="13"/>
  <c r="B134" i="13"/>
  <c r="A134" i="13"/>
  <c r="J134" i="13"/>
  <c r="I134" i="13"/>
  <c r="H134" i="13"/>
  <c r="G134" i="13"/>
  <c r="F134" i="13"/>
  <c r="E134" i="13"/>
  <c r="G116" i="13"/>
  <c r="F116" i="13"/>
  <c r="E116" i="13"/>
  <c r="K116" i="13"/>
  <c r="J116" i="13"/>
  <c r="I116" i="13"/>
  <c r="H116" i="13"/>
  <c r="D116" i="13"/>
  <c r="C116" i="13"/>
  <c r="B116" i="13"/>
  <c r="A116" i="13"/>
  <c r="AA33" i="3"/>
  <c r="G172" i="13"/>
  <c r="F172" i="13"/>
  <c r="E172" i="13"/>
  <c r="D172" i="13"/>
  <c r="C172" i="13"/>
  <c r="B172" i="13"/>
  <c r="A172" i="13"/>
  <c r="K172" i="13"/>
  <c r="J172" i="13"/>
  <c r="I172" i="13"/>
  <c r="H172" i="13"/>
  <c r="J386" i="13"/>
  <c r="H386" i="13"/>
  <c r="G386" i="13"/>
  <c r="B386" i="13"/>
  <c r="E386" i="13"/>
  <c r="D386" i="13"/>
  <c r="C386" i="13"/>
  <c r="A386" i="13"/>
  <c r="K386" i="13"/>
  <c r="I386" i="13"/>
  <c r="F386" i="13"/>
  <c r="B408" i="13"/>
  <c r="A408" i="13"/>
  <c r="J408" i="13"/>
  <c r="I408" i="13"/>
  <c r="E408" i="13"/>
  <c r="D408" i="13"/>
  <c r="C408" i="13"/>
  <c r="K408" i="13"/>
  <c r="H408" i="13"/>
  <c r="G408" i="13"/>
  <c r="F408" i="13"/>
  <c r="G65" i="13"/>
  <c r="F65" i="13"/>
  <c r="E65" i="13"/>
  <c r="D65" i="13"/>
  <c r="C65" i="13"/>
  <c r="B65" i="13"/>
  <c r="A65" i="13"/>
  <c r="K65" i="13"/>
  <c r="H65" i="13"/>
  <c r="J65" i="13"/>
  <c r="I65" i="13"/>
  <c r="F246" i="13"/>
  <c r="E246" i="13"/>
  <c r="C246" i="13"/>
  <c r="B246" i="13"/>
  <c r="A246" i="13"/>
  <c r="J246" i="13"/>
  <c r="K246" i="13"/>
  <c r="I246" i="13"/>
  <c r="H246" i="13"/>
  <c r="G246" i="13"/>
  <c r="D246" i="13"/>
  <c r="K352" i="13"/>
  <c r="J352" i="13"/>
  <c r="I352" i="13"/>
  <c r="H352" i="13"/>
  <c r="G352" i="13"/>
  <c r="F352" i="13"/>
  <c r="E352" i="13"/>
  <c r="D352" i="13"/>
  <c r="C352" i="13"/>
  <c r="B352" i="13"/>
  <c r="A352" i="13"/>
  <c r="K197" i="13"/>
  <c r="J197" i="13"/>
  <c r="I197" i="13"/>
  <c r="H197" i="13"/>
  <c r="G197" i="13"/>
  <c r="F197" i="13"/>
  <c r="E197" i="13"/>
  <c r="D197" i="13"/>
  <c r="C197" i="13"/>
  <c r="B197" i="13"/>
  <c r="A197" i="13"/>
  <c r="C123" i="13"/>
  <c r="B123" i="13"/>
  <c r="A123" i="13"/>
  <c r="K123" i="13"/>
  <c r="J123" i="13"/>
  <c r="I123" i="13"/>
  <c r="H123" i="13"/>
  <c r="G123" i="13"/>
  <c r="F123" i="13"/>
  <c r="E123" i="13"/>
  <c r="D123" i="13"/>
  <c r="K181" i="13"/>
  <c r="J181" i="13"/>
  <c r="I181" i="13"/>
  <c r="H181" i="13"/>
  <c r="G181" i="13"/>
  <c r="F181" i="13"/>
  <c r="E181" i="13"/>
  <c r="C181" i="13"/>
  <c r="B181" i="13"/>
  <c r="A181" i="13"/>
  <c r="D181" i="13"/>
  <c r="AA38" i="3"/>
  <c r="J23" i="13"/>
  <c r="D23" i="13"/>
  <c r="C23" i="13"/>
  <c r="B23" i="13"/>
  <c r="A23" i="13"/>
  <c r="K23" i="13"/>
  <c r="I23" i="13"/>
  <c r="H23" i="13"/>
  <c r="G23" i="13"/>
  <c r="F23" i="13"/>
  <c r="E23" i="13"/>
  <c r="K319" i="13"/>
  <c r="J319" i="13"/>
  <c r="I319" i="13"/>
  <c r="G319" i="13"/>
  <c r="F319" i="13"/>
  <c r="E319" i="13"/>
  <c r="C319" i="13"/>
  <c r="H319" i="13"/>
  <c r="D319" i="13"/>
  <c r="B319" i="13"/>
  <c r="A319" i="13"/>
  <c r="B265" i="13"/>
  <c r="A265" i="13"/>
  <c r="K265" i="13"/>
  <c r="J265" i="13"/>
  <c r="I265" i="13"/>
  <c r="G265" i="13"/>
  <c r="F265" i="13"/>
  <c r="E265" i="13"/>
  <c r="H265" i="13"/>
  <c r="D265" i="13"/>
  <c r="C265" i="13"/>
  <c r="G49" i="13"/>
  <c r="F49" i="13"/>
  <c r="E49" i="13"/>
  <c r="D49" i="13"/>
  <c r="C49" i="13"/>
  <c r="B49" i="13"/>
  <c r="A49" i="13"/>
  <c r="K49" i="13"/>
  <c r="J49" i="13"/>
  <c r="I49" i="13"/>
  <c r="H49" i="13"/>
  <c r="G286" i="13"/>
  <c r="F286" i="13"/>
  <c r="E286" i="13"/>
  <c r="J286" i="13"/>
  <c r="I286" i="13"/>
  <c r="H286" i="13"/>
  <c r="D286" i="13"/>
  <c r="C286" i="13"/>
  <c r="B286" i="13"/>
  <c r="A286" i="13"/>
  <c r="K286" i="13"/>
  <c r="K291" i="13"/>
  <c r="J291" i="13"/>
  <c r="I291" i="13"/>
  <c r="G291" i="13"/>
  <c r="F291" i="13"/>
  <c r="E291" i="13"/>
  <c r="D291" i="13"/>
  <c r="C291" i="13"/>
  <c r="B291" i="13"/>
  <c r="A291" i="13"/>
  <c r="H291" i="13"/>
  <c r="J251" i="13"/>
  <c r="I251" i="13"/>
  <c r="H251" i="13"/>
  <c r="G251" i="13"/>
  <c r="F251" i="13"/>
  <c r="E251" i="13"/>
  <c r="C251" i="13"/>
  <c r="B251" i="13"/>
  <c r="K251" i="13"/>
  <c r="D251" i="13"/>
  <c r="A251" i="13"/>
  <c r="C103" i="13"/>
  <c r="B103" i="13"/>
  <c r="K103" i="13"/>
  <c r="J103" i="13"/>
  <c r="I103" i="13"/>
  <c r="H103" i="13"/>
  <c r="G103" i="13"/>
  <c r="F103" i="13"/>
  <c r="E103" i="13"/>
  <c r="D103" i="13"/>
  <c r="A103" i="13"/>
  <c r="C159" i="13"/>
  <c r="B159" i="13"/>
  <c r="A159" i="13"/>
  <c r="J159" i="13"/>
  <c r="K159" i="13"/>
  <c r="I159" i="13"/>
  <c r="H159" i="13"/>
  <c r="G159" i="13"/>
  <c r="F159" i="13"/>
  <c r="E159" i="13"/>
  <c r="D159" i="13"/>
  <c r="K110" i="13"/>
  <c r="J110" i="13"/>
  <c r="I110" i="13"/>
  <c r="H110" i="13"/>
  <c r="G110" i="13"/>
  <c r="F110" i="13"/>
  <c r="E110" i="13"/>
  <c r="D110" i="13"/>
  <c r="C110" i="13"/>
  <c r="B110" i="13"/>
  <c r="A110" i="13"/>
  <c r="E288" i="13"/>
  <c r="D288" i="13"/>
  <c r="C288" i="13"/>
  <c r="B288" i="13"/>
  <c r="A288" i="13"/>
  <c r="K288" i="13"/>
  <c r="J288" i="13"/>
  <c r="I288" i="13"/>
  <c r="H288" i="13"/>
  <c r="G288" i="13"/>
  <c r="F288" i="13"/>
  <c r="K18" i="13"/>
  <c r="J18" i="13"/>
  <c r="I18" i="13"/>
  <c r="F18" i="13"/>
  <c r="H18" i="13"/>
  <c r="G18" i="13"/>
  <c r="E18" i="13"/>
  <c r="D18" i="13"/>
  <c r="C18" i="13"/>
  <c r="B18" i="13"/>
  <c r="A18" i="13"/>
  <c r="C203" i="13"/>
  <c r="B203" i="13"/>
  <c r="A203" i="13"/>
  <c r="K203" i="13"/>
  <c r="J203" i="13"/>
  <c r="I203" i="13"/>
  <c r="H203" i="13"/>
  <c r="G203" i="13"/>
  <c r="F203" i="13"/>
  <c r="E203" i="13"/>
  <c r="D203" i="13"/>
  <c r="J406" i="13"/>
  <c r="H406" i="13"/>
  <c r="G406" i="13"/>
  <c r="D406" i="13"/>
  <c r="B406" i="13"/>
  <c r="A406" i="13"/>
  <c r="K406" i="13"/>
  <c r="I406" i="13"/>
  <c r="F406" i="13"/>
  <c r="E406" i="13"/>
  <c r="C406" i="13"/>
  <c r="C92" i="13"/>
  <c r="B92" i="13"/>
  <c r="A92" i="13"/>
  <c r="K92" i="13"/>
  <c r="J92" i="13"/>
  <c r="I92" i="13"/>
  <c r="H92" i="13"/>
  <c r="G92" i="13"/>
  <c r="F92" i="13"/>
  <c r="E92" i="13"/>
  <c r="D92" i="13"/>
  <c r="J362" i="13"/>
  <c r="G362" i="13"/>
  <c r="K362" i="13"/>
  <c r="I362" i="13"/>
  <c r="H362" i="13"/>
  <c r="F362" i="13"/>
  <c r="E362" i="13"/>
  <c r="D362" i="13"/>
  <c r="C362" i="13"/>
  <c r="B362" i="13"/>
  <c r="A362" i="13"/>
  <c r="C357" i="13"/>
  <c r="B357" i="13"/>
  <c r="A357" i="13"/>
  <c r="K357" i="13"/>
  <c r="J357" i="13"/>
  <c r="I357" i="13"/>
  <c r="H357" i="13"/>
  <c r="G357" i="13"/>
  <c r="F357" i="13"/>
  <c r="E357" i="13"/>
  <c r="D357" i="13"/>
  <c r="K59" i="13"/>
  <c r="J59" i="13"/>
  <c r="I59" i="13"/>
  <c r="F59" i="13"/>
  <c r="G59" i="13"/>
  <c r="E59" i="13"/>
  <c r="D59" i="13"/>
  <c r="C59" i="13"/>
  <c r="B59" i="13"/>
  <c r="A59" i="13"/>
  <c r="H59" i="13"/>
  <c r="J243" i="13"/>
  <c r="I243" i="13"/>
  <c r="G243" i="13"/>
  <c r="F243" i="13"/>
  <c r="E243" i="13"/>
  <c r="B243" i="13"/>
  <c r="K243" i="13"/>
  <c r="H243" i="13"/>
  <c r="D243" i="13"/>
  <c r="C243" i="13"/>
  <c r="A243" i="13"/>
  <c r="K47" i="13"/>
  <c r="J47" i="13"/>
  <c r="F47" i="13"/>
  <c r="A47" i="13"/>
  <c r="I47" i="13"/>
  <c r="H47" i="13"/>
  <c r="G47" i="13"/>
  <c r="E47" i="13"/>
  <c r="D47" i="13"/>
  <c r="C47" i="13"/>
  <c r="B47" i="13"/>
  <c r="K138" i="13"/>
  <c r="J138" i="13"/>
  <c r="I138" i="13"/>
  <c r="H138" i="13"/>
  <c r="G138" i="13"/>
  <c r="F138" i="13"/>
  <c r="E138" i="13"/>
  <c r="D138" i="13"/>
  <c r="C138" i="13"/>
  <c r="B138" i="13"/>
  <c r="A138" i="13"/>
  <c r="K113" i="13"/>
  <c r="J113" i="13"/>
  <c r="I113" i="13"/>
  <c r="H113" i="13"/>
  <c r="G113" i="13"/>
  <c r="F113" i="13"/>
  <c r="E113" i="13"/>
  <c r="D113" i="13"/>
  <c r="C113" i="13"/>
  <c r="B113" i="13"/>
  <c r="A113" i="13"/>
  <c r="K54" i="13"/>
  <c r="J54" i="13"/>
  <c r="I54" i="13"/>
  <c r="H54" i="13"/>
  <c r="G54" i="13"/>
  <c r="F54" i="13"/>
  <c r="E54" i="13"/>
  <c r="B54" i="13"/>
  <c r="C54" i="13"/>
  <c r="A54" i="13"/>
  <c r="D54" i="13"/>
  <c r="AA26" i="12"/>
  <c r="K340" i="13"/>
  <c r="J340" i="13"/>
  <c r="I340" i="13"/>
  <c r="G340" i="13"/>
  <c r="F340" i="13"/>
  <c r="E340" i="13"/>
  <c r="H340" i="13"/>
  <c r="D340" i="13"/>
  <c r="C340" i="13"/>
  <c r="B340" i="13"/>
  <c r="A340" i="13"/>
  <c r="F385" i="13"/>
  <c r="D385" i="13"/>
  <c r="C385" i="13"/>
  <c r="K385" i="13"/>
  <c r="J385" i="13"/>
  <c r="I385" i="13"/>
  <c r="H385" i="13"/>
  <c r="G385" i="13"/>
  <c r="E385" i="13"/>
  <c r="B385" i="13"/>
  <c r="A385" i="13"/>
  <c r="F389" i="13"/>
  <c r="D389" i="13"/>
  <c r="C389" i="13"/>
  <c r="K389" i="13"/>
  <c r="J389" i="13"/>
  <c r="I389" i="13"/>
  <c r="H389" i="13"/>
  <c r="G389" i="13"/>
  <c r="E389" i="13"/>
  <c r="B389" i="13"/>
  <c r="A389" i="13"/>
  <c r="F31" i="3"/>
  <c r="E31" i="3"/>
  <c r="D31" i="3"/>
  <c r="C31" i="3"/>
  <c r="B31" i="3"/>
  <c r="A31" i="3"/>
  <c r="B237" i="13"/>
  <c r="A237" i="13"/>
  <c r="J237" i="13"/>
  <c r="K237" i="13"/>
  <c r="I237" i="13"/>
  <c r="H237" i="13"/>
  <c r="G237" i="13"/>
  <c r="F237" i="13"/>
  <c r="E237" i="13"/>
  <c r="D237" i="13"/>
  <c r="C237" i="13"/>
  <c r="K62" i="13"/>
  <c r="J62" i="13"/>
  <c r="I62" i="13"/>
  <c r="H62" i="13"/>
  <c r="G62" i="13"/>
  <c r="F62" i="13"/>
  <c r="E62" i="13"/>
  <c r="B62" i="13"/>
  <c r="C62" i="13"/>
  <c r="A62" i="13"/>
  <c r="D62" i="13"/>
  <c r="J267" i="13"/>
  <c r="I267" i="13"/>
  <c r="H267" i="13"/>
  <c r="G267" i="13"/>
  <c r="F267" i="13"/>
  <c r="E267" i="13"/>
  <c r="D267" i="13"/>
  <c r="C267" i="13"/>
  <c r="B267" i="13"/>
  <c r="A267" i="13"/>
  <c r="K267" i="13"/>
  <c r="B245" i="13"/>
  <c r="A245" i="13"/>
  <c r="J245" i="13"/>
  <c r="F245" i="13"/>
  <c r="K245" i="13"/>
  <c r="I245" i="13"/>
  <c r="H245" i="13"/>
  <c r="G245" i="13"/>
  <c r="E245" i="13"/>
  <c r="D245" i="13"/>
  <c r="C245" i="13"/>
  <c r="B241" i="13"/>
  <c r="A241" i="13"/>
  <c r="J241" i="13"/>
  <c r="K241" i="13"/>
  <c r="I241" i="13"/>
  <c r="H241" i="13"/>
  <c r="G241" i="13"/>
  <c r="F241" i="13"/>
  <c r="E241" i="13"/>
  <c r="D241" i="13"/>
  <c r="C241" i="13"/>
  <c r="G33" i="13"/>
  <c r="F33" i="13"/>
  <c r="E33" i="13"/>
  <c r="C33" i="13"/>
  <c r="B33" i="13"/>
  <c r="K33" i="13"/>
  <c r="J33" i="13"/>
  <c r="I33" i="13"/>
  <c r="H33" i="13"/>
  <c r="D33" i="13"/>
  <c r="A33" i="13"/>
  <c r="B106" i="13"/>
  <c r="A106" i="13"/>
  <c r="K106" i="13"/>
  <c r="J106" i="13"/>
  <c r="I106" i="13"/>
  <c r="H106" i="13"/>
  <c r="G106" i="13"/>
  <c r="F106" i="13"/>
  <c r="E106" i="13"/>
  <c r="D106" i="13"/>
  <c r="C106" i="13"/>
  <c r="C191" i="13"/>
  <c r="B191" i="13"/>
  <c r="A191" i="13"/>
  <c r="K191" i="13"/>
  <c r="J191" i="13"/>
  <c r="I191" i="13"/>
  <c r="H191" i="13"/>
  <c r="G191" i="13"/>
  <c r="F191" i="13"/>
  <c r="E191" i="13"/>
  <c r="D191" i="13"/>
  <c r="K125" i="13"/>
  <c r="J125" i="13"/>
  <c r="I125" i="13"/>
  <c r="H125" i="13"/>
  <c r="G125" i="13"/>
  <c r="F125" i="13"/>
  <c r="E125" i="13"/>
  <c r="D125" i="13"/>
  <c r="C125" i="13"/>
  <c r="B125" i="13"/>
  <c r="A125" i="13"/>
  <c r="G57" i="13"/>
  <c r="F57" i="13"/>
  <c r="E57" i="13"/>
  <c r="D57" i="13"/>
  <c r="C57" i="13"/>
  <c r="B57" i="13"/>
  <c r="A57" i="13"/>
  <c r="K57" i="13"/>
  <c r="J57" i="13"/>
  <c r="I57" i="13"/>
  <c r="H57" i="13"/>
  <c r="F262" i="13"/>
  <c r="E262" i="13"/>
  <c r="D262" i="13"/>
  <c r="C262" i="13"/>
  <c r="B262" i="13"/>
  <c r="A262" i="13"/>
  <c r="K262" i="13"/>
  <c r="J262" i="13"/>
  <c r="I262" i="13"/>
  <c r="H262" i="13"/>
  <c r="G262" i="13"/>
  <c r="K276" i="13"/>
  <c r="J276" i="13"/>
  <c r="I276" i="13"/>
  <c r="H276" i="13"/>
  <c r="G276" i="13"/>
  <c r="F276" i="13"/>
  <c r="E276" i="13"/>
  <c r="D276" i="13"/>
  <c r="C276" i="13"/>
  <c r="B276" i="13"/>
  <c r="A276" i="13"/>
  <c r="K347" i="13"/>
  <c r="J347" i="13"/>
  <c r="I347" i="13"/>
  <c r="H347" i="13"/>
  <c r="G347" i="13"/>
  <c r="F347" i="13"/>
  <c r="E347" i="13"/>
  <c r="C347" i="13"/>
  <c r="B347" i="13"/>
  <c r="A347" i="13"/>
  <c r="D347" i="13"/>
  <c r="G298" i="13"/>
  <c r="F298" i="13"/>
  <c r="E298" i="13"/>
  <c r="B298" i="13"/>
  <c r="A298" i="13"/>
  <c r="K298" i="13"/>
  <c r="J298" i="13"/>
  <c r="I298" i="13"/>
  <c r="H298" i="13"/>
  <c r="D298" i="13"/>
  <c r="C298" i="13"/>
  <c r="K150" i="13"/>
  <c r="J150" i="13"/>
  <c r="I150" i="13"/>
  <c r="D150" i="13"/>
  <c r="C150" i="13"/>
  <c r="B150" i="13"/>
  <c r="A150" i="13"/>
  <c r="H150" i="13"/>
  <c r="G150" i="13"/>
  <c r="F150" i="13"/>
  <c r="E150" i="13"/>
  <c r="B253" i="13"/>
  <c r="A253" i="13"/>
  <c r="K253" i="13"/>
  <c r="J253" i="13"/>
  <c r="I253" i="13"/>
  <c r="G253" i="13"/>
  <c r="F253" i="13"/>
  <c r="H253" i="13"/>
  <c r="E253" i="13"/>
  <c r="D253" i="13"/>
  <c r="C253" i="13"/>
  <c r="B360" i="13"/>
  <c r="A360" i="13"/>
  <c r="K360" i="13"/>
  <c r="J360" i="13"/>
  <c r="I360" i="13"/>
  <c r="H360" i="13"/>
  <c r="G360" i="13"/>
  <c r="F360" i="13"/>
  <c r="E360" i="13"/>
  <c r="D360" i="13"/>
  <c r="C360" i="13"/>
  <c r="F214" i="13"/>
  <c r="E214" i="13"/>
  <c r="C214" i="13"/>
  <c r="K214" i="13"/>
  <c r="J214" i="13"/>
  <c r="I214" i="13"/>
  <c r="H214" i="13"/>
  <c r="G214" i="13"/>
  <c r="D214" i="13"/>
  <c r="B214" i="13"/>
  <c r="A214" i="13"/>
  <c r="K105" i="13"/>
  <c r="J105" i="13"/>
  <c r="I105" i="13"/>
  <c r="H105" i="13"/>
  <c r="G105" i="13"/>
  <c r="F105" i="13"/>
  <c r="E105" i="13"/>
  <c r="D105" i="13"/>
  <c r="C105" i="13"/>
  <c r="B105" i="13"/>
  <c r="A105" i="13"/>
  <c r="B412" i="13"/>
  <c r="A412" i="13"/>
  <c r="K412" i="13"/>
  <c r="J412" i="13"/>
  <c r="I412" i="13"/>
  <c r="H412" i="13"/>
  <c r="G412" i="13"/>
  <c r="F412" i="13"/>
  <c r="E412" i="13"/>
  <c r="D412" i="13"/>
  <c r="C412" i="13"/>
  <c r="K232" i="13"/>
  <c r="J232" i="13"/>
  <c r="I232" i="13"/>
  <c r="F232" i="13"/>
  <c r="H232" i="13"/>
  <c r="G232" i="13"/>
  <c r="E232" i="13"/>
  <c r="D232" i="13"/>
  <c r="C232" i="13"/>
  <c r="B232" i="13"/>
  <c r="A232" i="13"/>
  <c r="K117" i="13"/>
  <c r="J117" i="13"/>
  <c r="I117" i="13"/>
  <c r="F117" i="13"/>
  <c r="E117" i="13"/>
  <c r="D117" i="13"/>
  <c r="C117" i="13"/>
  <c r="B117" i="13"/>
  <c r="A117" i="13"/>
  <c r="H117" i="13"/>
  <c r="G117" i="13"/>
  <c r="C80" i="13"/>
  <c r="B80" i="13"/>
  <c r="A80" i="13"/>
  <c r="K80" i="13"/>
  <c r="J80" i="13"/>
  <c r="I80" i="13"/>
  <c r="G80" i="13"/>
  <c r="E80" i="13"/>
  <c r="D80" i="13"/>
  <c r="H80" i="13"/>
  <c r="F80" i="13"/>
  <c r="K359" i="13"/>
  <c r="J359" i="13"/>
  <c r="I359" i="13"/>
  <c r="H359" i="13"/>
  <c r="G359" i="13"/>
  <c r="F359" i="13"/>
  <c r="E359" i="13"/>
  <c r="D359" i="13"/>
  <c r="C359" i="13"/>
  <c r="B359" i="13"/>
  <c r="A359" i="13"/>
  <c r="J308" i="13"/>
  <c r="I308" i="13"/>
  <c r="D308" i="13"/>
  <c r="C308" i="13"/>
  <c r="B308" i="13"/>
  <c r="A308" i="13"/>
  <c r="K308" i="13"/>
  <c r="H308" i="13"/>
  <c r="G308" i="13"/>
  <c r="F308" i="13"/>
  <c r="E308" i="13"/>
  <c r="K264" i="13"/>
  <c r="J264" i="13"/>
  <c r="I264" i="13"/>
  <c r="H264" i="13"/>
  <c r="G264" i="13"/>
  <c r="F264" i="13"/>
  <c r="E264" i="13"/>
  <c r="C264" i="13"/>
  <c r="B264" i="13"/>
  <c r="A264" i="13"/>
  <c r="D264" i="13"/>
  <c r="J15" i="13"/>
  <c r="K15" i="13"/>
  <c r="I15" i="13"/>
  <c r="H15" i="13"/>
  <c r="G15" i="13"/>
  <c r="F15" i="13"/>
  <c r="E15" i="13"/>
  <c r="D15" i="13"/>
  <c r="C15" i="13"/>
  <c r="B15" i="13"/>
  <c r="A15" i="13"/>
  <c r="G93" i="13"/>
  <c r="F93" i="13"/>
  <c r="E93" i="13"/>
  <c r="D93" i="13"/>
  <c r="C93" i="13"/>
  <c r="B93" i="13"/>
  <c r="A93" i="13"/>
  <c r="K93" i="13"/>
  <c r="J93" i="13"/>
  <c r="I93" i="13"/>
  <c r="H93" i="13"/>
  <c r="K174" i="13"/>
  <c r="J174" i="13"/>
  <c r="I174" i="13"/>
  <c r="G174" i="13"/>
  <c r="F174" i="13"/>
  <c r="E174" i="13"/>
  <c r="D174" i="13"/>
  <c r="C174" i="13"/>
  <c r="B174" i="13"/>
  <c r="A174" i="13"/>
  <c r="H174" i="13"/>
  <c r="J19" i="13"/>
  <c r="H19" i="13"/>
  <c r="G19" i="13"/>
  <c r="F19" i="13"/>
  <c r="E19" i="13"/>
  <c r="D19" i="13"/>
  <c r="C19" i="13"/>
  <c r="B19" i="13"/>
  <c r="A19" i="13"/>
  <c r="K19" i="13"/>
  <c r="I19" i="13"/>
  <c r="F222" i="13"/>
  <c r="E222" i="13"/>
  <c r="C222" i="13"/>
  <c r="H222" i="13"/>
  <c r="G222" i="13"/>
  <c r="D222" i="13"/>
  <c r="B222" i="13"/>
  <c r="A222" i="13"/>
  <c r="K222" i="13"/>
  <c r="J222" i="13"/>
  <c r="I222" i="13"/>
  <c r="F397" i="13"/>
  <c r="D397" i="13"/>
  <c r="C397" i="13"/>
  <c r="J397" i="13"/>
  <c r="I397" i="13"/>
  <c r="H397" i="13"/>
  <c r="G397" i="13"/>
  <c r="E397" i="13"/>
  <c r="B397" i="13"/>
  <c r="A397" i="13"/>
  <c r="K397" i="13"/>
  <c r="AA40" i="3"/>
  <c r="C32" i="13"/>
  <c r="B32" i="13"/>
  <c r="A32" i="13"/>
  <c r="J32" i="13"/>
  <c r="I32" i="13"/>
  <c r="H32" i="13"/>
  <c r="G32" i="13"/>
  <c r="F32" i="13"/>
  <c r="E32" i="13"/>
  <c r="D32" i="13"/>
  <c r="K32" i="13"/>
  <c r="K82" i="13"/>
  <c r="J82" i="13"/>
  <c r="I82" i="13"/>
  <c r="H82" i="13"/>
  <c r="G82" i="13"/>
  <c r="F82" i="13"/>
  <c r="E82" i="13"/>
  <c r="D82" i="13"/>
  <c r="C82" i="13"/>
  <c r="B82" i="13"/>
  <c r="A82" i="13"/>
  <c r="K205" i="13"/>
  <c r="J205" i="13"/>
  <c r="I205" i="13"/>
  <c r="H205" i="13"/>
  <c r="G205" i="13"/>
  <c r="F205" i="13"/>
  <c r="E205" i="13"/>
  <c r="D205" i="13"/>
  <c r="C205" i="13"/>
  <c r="B205" i="13"/>
  <c r="A205" i="13"/>
  <c r="K324" i="13"/>
  <c r="J324" i="13"/>
  <c r="I324" i="13"/>
  <c r="G324" i="13"/>
  <c r="F324" i="13"/>
  <c r="E324" i="13"/>
  <c r="A324" i="13"/>
  <c r="H324" i="13"/>
  <c r="D324" i="13"/>
  <c r="C324" i="13"/>
  <c r="B324" i="13"/>
  <c r="F365" i="13"/>
  <c r="C365" i="13"/>
  <c r="K365" i="13"/>
  <c r="J365" i="13"/>
  <c r="I365" i="13"/>
  <c r="H365" i="13"/>
  <c r="G365" i="13"/>
  <c r="E365" i="13"/>
  <c r="D365" i="13"/>
  <c r="B365" i="13"/>
  <c r="A365" i="13"/>
  <c r="C183" i="13"/>
  <c r="B183" i="13"/>
  <c r="A183" i="13"/>
  <c r="K183" i="13"/>
  <c r="J183" i="13"/>
  <c r="I183" i="13"/>
  <c r="H183" i="13"/>
  <c r="G183" i="13"/>
  <c r="F183" i="13"/>
  <c r="E183" i="13"/>
  <c r="D183" i="13"/>
  <c r="K75" i="13"/>
  <c r="J75" i="13"/>
  <c r="I75" i="13"/>
  <c r="H75" i="13"/>
  <c r="G75" i="13"/>
  <c r="F75" i="13"/>
  <c r="E75" i="13"/>
  <c r="C75" i="13"/>
  <c r="A75" i="13"/>
  <c r="D75" i="13"/>
  <c r="B75" i="13"/>
  <c r="K67" i="13"/>
  <c r="J67" i="13"/>
  <c r="I67" i="13"/>
  <c r="H67" i="13"/>
  <c r="F67" i="13"/>
  <c r="E67" i="13"/>
  <c r="C67" i="13"/>
  <c r="G67" i="13"/>
  <c r="D67" i="13"/>
  <c r="B67" i="13"/>
  <c r="A67" i="13"/>
  <c r="C151" i="13"/>
  <c r="B151" i="13"/>
  <c r="A151" i="13"/>
  <c r="K151" i="13"/>
  <c r="J151" i="13"/>
  <c r="I151" i="13"/>
  <c r="H151" i="13"/>
  <c r="G151" i="13"/>
  <c r="F151" i="13"/>
  <c r="E151" i="13"/>
  <c r="D151" i="13"/>
  <c r="C28" i="13"/>
  <c r="B28" i="13"/>
  <c r="A28" i="13"/>
  <c r="K28" i="13"/>
  <c r="J28" i="13"/>
  <c r="I28" i="13"/>
  <c r="H28" i="13"/>
  <c r="G28" i="13"/>
  <c r="F28" i="13"/>
  <c r="E28" i="13"/>
  <c r="D28" i="13"/>
  <c r="F369" i="13"/>
  <c r="C369" i="13"/>
  <c r="G369" i="13"/>
  <c r="E369" i="13"/>
  <c r="D369" i="13"/>
  <c r="B369" i="13"/>
  <c r="A369" i="13"/>
  <c r="K369" i="13"/>
  <c r="J369" i="13"/>
  <c r="H369" i="13"/>
  <c r="I369" i="13"/>
  <c r="G326" i="13"/>
  <c r="F326" i="13"/>
  <c r="E326" i="13"/>
  <c r="D326" i="13"/>
  <c r="C326" i="13"/>
  <c r="B326" i="13"/>
  <c r="A326" i="13"/>
  <c r="K326" i="13"/>
  <c r="J326" i="13"/>
  <c r="I326" i="13"/>
  <c r="H326" i="13"/>
  <c r="B281" i="13"/>
  <c r="A281" i="13"/>
  <c r="K281" i="13"/>
  <c r="J281" i="13"/>
  <c r="I281" i="13"/>
  <c r="H281" i="13"/>
  <c r="G281" i="13"/>
  <c r="F281" i="13"/>
  <c r="E281" i="13"/>
  <c r="D281" i="13"/>
  <c r="C281" i="13"/>
  <c r="C131" i="13"/>
  <c r="B131" i="13"/>
  <c r="A131" i="13"/>
  <c r="K131" i="13"/>
  <c r="J131" i="13"/>
  <c r="I131" i="13"/>
  <c r="H131" i="13"/>
  <c r="G131" i="13"/>
  <c r="F131" i="13"/>
  <c r="E131" i="13"/>
  <c r="D131" i="13"/>
  <c r="G45" i="13"/>
  <c r="F45" i="13"/>
  <c r="E45" i="13"/>
  <c r="D45" i="13"/>
  <c r="C45" i="13"/>
  <c r="B45" i="13"/>
  <c r="K45" i="13"/>
  <c r="J45" i="13"/>
  <c r="I45" i="13"/>
  <c r="H45" i="13"/>
  <c r="A45" i="13"/>
  <c r="J259" i="13"/>
  <c r="I259" i="13"/>
  <c r="H259" i="13"/>
  <c r="G259" i="13"/>
  <c r="F259" i="13"/>
  <c r="E259" i="13"/>
  <c r="D259" i="13"/>
  <c r="C259" i="13"/>
  <c r="B259" i="13"/>
  <c r="A259" i="13"/>
  <c r="K259" i="13"/>
  <c r="G302" i="13"/>
  <c r="F302" i="13"/>
  <c r="E302" i="13"/>
  <c r="K302" i="13"/>
  <c r="J302" i="13"/>
  <c r="I302" i="13"/>
  <c r="H302" i="13"/>
  <c r="D302" i="13"/>
  <c r="C302" i="13"/>
  <c r="B302" i="13"/>
  <c r="A302" i="13"/>
  <c r="C167" i="13"/>
  <c r="B167" i="13"/>
  <c r="A167" i="13"/>
  <c r="J167" i="13"/>
  <c r="K167" i="13"/>
  <c r="I167" i="13"/>
  <c r="H167" i="13"/>
  <c r="G167" i="13"/>
  <c r="F167" i="13"/>
  <c r="E167" i="13"/>
  <c r="D167" i="13"/>
  <c r="G104" i="13"/>
  <c r="F104" i="13"/>
  <c r="E104" i="13"/>
  <c r="D104" i="13"/>
  <c r="C104" i="13"/>
  <c r="B104" i="13"/>
  <c r="A104" i="13"/>
  <c r="K104" i="13"/>
  <c r="J104" i="13"/>
  <c r="I104" i="13"/>
  <c r="H104" i="13"/>
  <c r="K367" i="13"/>
  <c r="F367" i="13"/>
  <c r="J367" i="13"/>
  <c r="I367" i="13"/>
  <c r="H367" i="13"/>
  <c r="G367" i="13"/>
  <c r="E367" i="13"/>
  <c r="D367" i="13"/>
  <c r="C367" i="13"/>
  <c r="B367" i="13"/>
  <c r="A367" i="13"/>
  <c r="B249" i="13"/>
  <c r="A249" i="13"/>
  <c r="K249" i="13"/>
  <c r="J249" i="13"/>
  <c r="F249" i="13"/>
  <c r="G249" i="13"/>
  <c r="E249" i="13"/>
  <c r="D249" i="13"/>
  <c r="C249" i="13"/>
  <c r="I249" i="13"/>
  <c r="H249" i="13"/>
  <c r="K236" i="13"/>
  <c r="J236" i="13"/>
  <c r="I236" i="13"/>
  <c r="F236" i="13"/>
  <c r="B236" i="13"/>
  <c r="A236" i="13"/>
  <c r="H236" i="13"/>
  <c r="G236" i="13"/>
  <c r="E236" i="13"/>
  <c r="D236" i="13"/>
  <c r="C236" i="13"/>
  <c r="J366" i="13"/>
  <c r="G366" i="13"/>
  <c r="B366" i="13"/>
  <c r="C366" i="13"/>
  <c r="A366" i="13"/>
  <c r="K366" i="13"/>
  <c r="I366" i="13"/>
  <c r="H366" i="13"/>
  <c r="F366" i="13"/>
  <c r="E366" i="13"/>
  <c r="D366" i="13"/>
  <c r="J279" i="13"/>
  <c r="I279" i="13"/>
  <c r="H279" i="13"/>
  <c r="G279" i="13"/>
  <c r="F279" i="13"/>
  <c r="E279" i="13"/>
  <c r="D279" i="13"/>
  <c r="C279" i="13"/>
  <c r="B279" i="13"/>
  <c r="A279" i="13"/>
  <c r="K279" i="13"/>
  <c r="G37" i="13"/>
  <c r="F37" i="13"/>
  <c r="E37" i="13"/>
  <c r="C37" i="13"/>
  <c r="B37" i="13"/>
  <c r="K37" i="13"/>
  <c r="J37" i="13"/>
  <c r="I37" i="13"/>
  <c r="H37" i="13"/>
  <c r="D37" i="13"/>
  <c r="A37" i="13"/>
  <c r="C317" i="13"/>
  <c r="B317" i="13"/>
  <c r="A317" i="13"/>
  <c r="K317" i="13"/>
  <c r="J317" i="13"/>
  <c r="I317" i="13"/>
  <c r="H317" i="13"/>
  <c r="G317" i="13"/>
  <c r="F317" i="13"/>
  <c r="E317" i="13"/>
  <c r="D317" i="13"/>
  <c r="K379" i="13"/>
  <c r="F379" i="13"/>
  <c r="D379" i="13"/>
  <c r="C379" i="13"/>
  <c r="B379" i="13"/>
  <c r="A379" i="13"/>
  <c r="J379" i="13"/>
  <c r="I379" i="13"/>
  <c r="H379" i="13"/>
  <c r="G379" i="13"/>
  <c r="E379" i="13"/>
  <c r="C16" i="13"/>
  <c r="B16" i="13"/>
  <c r="A16" i="13"/>
  <c r="D16" i="13"/>
  <c r="K16" i="13"/>
  <c r="J16" i="13"/>
  <c r="I16" i="13"/>
  <c r="H16" i="13"/>
  <c r="G16" i="13"/>
  <c r="F16" i="13"/>
  <c r="E16" i="13"/>
  <c r="K201" i="13"/>
  <c r="J201" i="13"/>
  <c r="I201" i="13"/>
  <c r="H201" i="13"/>
  <c r="G201" i="13"/>
  <c r="F201" i="13"/>
  <c r="E201" i="13"/>
  <c r="D201" i="13"/>
  <c r="C201" i="13"/>
  <c r="B201" i="13"/>
  <c r="A201" i="13"/>
  <c r="K161" i="13"/>
  <c r="J161" i="13"/>
  <c r="I161" i="13"/>
  <c r="H161" i="13"/>
  <c r="G161" i="13"/>
  <c r="F161" i="13"/>
  <c r="E161" i="13"/>
  <c r="B161" i="13"/>
  <c r="D161" i="13"/>
  <c r="C161" i="13"/>
  <c r="A161" i="13"/>
  <c r="G156" i="13"/>
  <c r="F156" i="13"/>
  <c r="E156" i="13"/>
  <c r="D156" i="13"/>
  <c r="C156" i="13"/>
  <c r="B156" i="13"/>
  <c r="A156" i="13"/>
  <c r="K156" i="13"/>
  <c r="J156" i="13"/>
  <c r="I156" i="13"/>
  <c r="H156" i="13"/>
  <c r="K375" i="13"/>
  <c r="F375" i="13"/>
  <c r="J375" i="13"/>
  <c r="I375" i="13"/>
  <c r="H375" i="13"/>
  <c r="G375" i="13"/>
  <c r="E375" i="13"/>
  <c r="D375" i="13"/>
  <c r="C375" i="13"/>
  <c r="B375" i="13"/>
  <c r="A375" i="13"/>
  <c r="F401" i="13"/>
  <c r="D401" i="13"/>
  <c r="C401" i="13"/>
  <c r="J401" i="13"/>
  <c r="I401" i="13"/>
  <c r="H401" i="13"/>
  <c r="G401" i="13"/>
  <c r="E401" i="13"/>
  <c r="B401" i="13"/>
  <c r="A401" i="13"/>
  <c r="K401" i="13"/>
  <c r="K315" i="13"/>
  <c r="J315" i="13"/>
  <c r="I315" i="13"/>
  <c r="F315" i="13"/>
  <c r="E315" i="13"/>
  <c r="C315" i="13"/>
  <c r="H315" i="13"/>
  <c r="G315" i="13"/>
  <c r="D315" i="13"/>
  <c r="B315" i="13"/>
  <c r="A315" i="13"/>
  <c r="B257" i="13"/>
  <c r="A257" i="13"/>
  <c r="K257" i="13"/>
  <c r="J257" i="13"/>
  <c r="I257" i="13"/>
  <c r="G257" i="13"/>
  <c r="F257" i="13"/>
  <c r="C257" i="13"/>
  <c r="H257" i="13"/>
  <c r="E257" i="13"/>
  <c r="D257" i="13"/>
  <c r="G53" i="13"/>
  <c r="F53" i="13"/>
  <c r="E53" i="13"/>
  <c r="D53" i="13"/>
  <c r="C53" i="13"/>
  <c r="B53" i="13"/>
  <c r="A53" i="13"/>
  <c r="K53" i="13"/>
  <c r="J53" i="13"/>
  <c r="I53" i="13"/>
  <c r="H53" i="13"/>
  <c r="C135" i="13"/>
  <c r="B135" i="13"/>
  <c r="A135" i="13"/>
  <c r="K135" i="13"/>
  <c r="J135" i="13"/>
  <c r="I135" i="13"/>
  <c r="H135" i="13"/>
  <c r="G135" i="13"/>
  <c r="F135" i="13"/>
  <c r="E135" i="13"/>
  <c r="D135" i="13"/>
  <c r="F230" i="13"/>
  <c r="E230" i="13"/>
  <c r="C230" i="13"/>
  <c r="B230" i="13"/>
  <c r="K230" i="13"/>
  <c r="J230" i="13"/>
  <c r="I230" i="13"/>
  <c r="H230" i="13"/>
  <c r="G230" i="13"/>
  <c r="D230" i="13"/>
  <c r="A230" i="13"/>
  <c r="J207" i="13"/>
  <c r="I207" i="13"/>
  <c r="E207" i="13"/>
  <c r="D207" i="13"/>
  <c r="C207" i="13"/>
  <c r="B207" i="13"/>
  <c r="A207" i="13"/>
  <c r="K207" i="13"/>
  <c r="H207" i="13"/>
  <c r="G207" i="13"/>
  <c r="F207" i="13"/>
  <c r="G77" i="13"/>
  <c r="F77" i="13"/>
  <c r="E77" i="13"/>
  <c r="D77" i="13"/>
  <c r="C77" i="13"/>
  <c r="B77" i="13"/>
  <c r="A77" i="13"/>
  <c r="K77" i="13"/>
  <c r="J77" i="13"/>
  <c r="I77" i="13"/>
  <c r="H77" i="13"/>
  <c r="J235" i="13"/>
  <c r="I235" i="13"/>
  <c r="G235" i="13"/>
  <c r="F235" i="13"/>
  <c r="E235" i="13"/>
  <c r="B235" i="13"/>
  <c r="K235" i="13"/>
  <c r="H235" i="13"/>
  <c r="D235" i="13"/>
  <c r="C235" i="13"/>
  <c r="A235" i="13"/>
  <c r="F377" i="13"/>
  <c r="C377" i="13"/>
  <c r="I377" i="13"/>
  <c r="H377" i="13"/>
  <c r="G377" i="13"/>
  <c r="E377" i="13"/>
  <c r="D377" i="13"/>
  <c r="B377" i="13"/>
  <c r="A377" i="13"/>
  <c r="K377" i="13"/>
  <c r="J377" i="13"/>
  <c r="K224" i="13"/>
  <c r="F224" i="13"/>
  <c r="D224" i="13"/>
  <c r="C224" i="13"/>
  <c r="B224" i="13"/>
  <c r="A224" i="13"/>
  <c r="J224" i="13"/>
  <c r="I224" i="13"/>
  <c r="H224" i="13"/>
  <c r="G224" i="13"/>
  <c r="E224" i="13"/>
  <c r="J211" i="13"/>
  <c r="I211" i="13"/>
  <c r="G211" i="13"/>
  <c r="K211" i="13"/>
  <c r="H211" i="13"/>
  <c r="F211" i="13"/>
  <c r="E211" i="13"/>
  <c r="D211" i="13"/>
  <c r="C211" i="13"/>
  <c r="B211" i="13"/>
  <c r="A211" i="13"/>
  <c r="K91" i="13"/>
  <c r="J91" i="13"/>
  <c r="I91" i="13"/>
  <c r="H91" i="13"/>
  <c r="G91" i="13"/>
  <c r="F91" i="13"/>
  <c r="E91" i="13"/>
  <c r="C91" i="13"/>
  <c r="B91" i="13"/>
  <c r="A91" i="13"/>
  <c r="D91" i="13"/>
  <c r="K86" i="13"/>
  <c r="J86" i="13"/>
  <c r="I86" i="13"/>
  <c r="H86" i="13"/>
  <c r="G86" i="13"/>
  <c r="F86" i="13"/>
  <c r="E86" i="13"/>
  <c r="D86" i="13"/>
  <c r="C86" i="13"/>
  <c r="B86" i="13"/>
  <c r="A86" i="13"/>
  <c r="K383" i="13"/>
  <c r="F383" i="13"/>
  <c r="J383" i="13"/>
  <c r="I383" i="13"/>
  <c r="H383" i="13"/>
  <c r="G383" i="13"/>
  <c r="E383" i="13"/>
  <c r="D383" i="13"/>
  <c r="C383" i="13"/>
  <c r="B383" i="13"/>
  <c r="A383" i="13"/>
  <c r="G73" i="13"/>
  <c r="F73" i="13"/>
  <c r="E73" i="13"/>
  <c r="D73" i="13"/>
  <c r="C73" i="13"/>
  <c r="B73" i="13"/>
  <c r="A73" i="13"/>
  <c r="K73" i="13"/>
  <c r="J73" i="13"/>
  <c r="I73" i="13"/>
  <c r="H73" i="13"/>
  <c r="K403" i="13"/>
  <c r="H403" i="13"/>
  <c r="F403" i="13"/>
  <c r="E403" i="13"/>
  <c r="J403" i="13"/>
  <c r="I403" i="13"/>
  <c r="G403" i="13"/>
  <c r="D403" i="13"/>
  <c r="C403" i="13"/>
  <c r="B403" i="13"/>
  <c r="A403" i="13"/>
  <c r="K66" i="13"/>
  <c r="J66" i="13"/>
  <c r="I66" i="13"/>
  <c r="H66" i="13"/>
  <c r="G66" i="13"/>
  <c r="F66" i="13"/>
  <c r="E66" i="13"/>
  <c r="D66" i="13"/>
  <c r="B66" i="13"/>
  <c r="C66" i="13"/>
  <c r="A66" i="13"/>
  <c r="C345" i="13"/>
  <c r="B345" i="13"/>
  <c r="A345" i="13"/>
  <c r="K345" i="13"/>
  <c r="J345" i="13"/>
  <c r="I345" i="13"/>
  <c r="E345" i="13"/>
  <c r="D345" i="13"/>
  <c r="H345" i="13"/>
  <c r="G345" i="13"/>
  <c r="F345" i="13"/>
  <c r="C12" i="13"/>
  <c r="B12" i="13"/>
  <c r="A12" i="13"/>
  <c r="H12" i="13"/>
  <c r="G12" i="13"/>
  <c r="F12" i="13"/>
  <c r="E12" i="13"/>
  <c r="D12" i="13"/>
  <c r="K12" i="13"/>
  <c r="J12" i="13"/>
  <c r="I12" i="13"/>
  <c r="K335" i="13"/>
  <c r="J335" i="13"/>
  <c r="I335" i="13"/>
  <c r="H335" i="13"/>
  <c r="G335" i="13"/>
  <c r="F335" i="13"/>
  <c r="E335" i="13"/>
  <c r="C335" i="13"/>
  <c r="B335" i="13"/>
  <c r="A335" i="13"/>
  <c r="D335" i="13"/>
  <c r="F226" i="13"/>
  <c r="E226" i="13"/>
  <c r="C226" i="13"/>
  <c r="A226" i="13"/>
  <c r="K226" i="13"/>
  <c r="J226" i="13"/>
  <c r="I226" i="13"/>
  <c r="H226" i="13"/>
  <c r="G226" i="13"/>
  <c r="D226" i="13"/>
  <c r="B226" i="13"/>
  <c r="K186" i="13"/>
  <c r="J186" i="13"/>
  <c r="I186" i="13"/>
  <c r="H186" i="13"/>
  <c r="G186" i="13"/>
  <c r="F186" i="13"/>
  <c r="E186" i="13"/>
  <c r="D186" i="13"/>
  <c r="C186" i="13"/>
  <c r="B186" i="13"/>
  <c r="A186" i="13"/>
  <c r="K216" i="13"/>
  <c r="F216" i="13"/>
  <c r="J216" i="13"/>
  <c r="I216" i="13"/>
  <c r="H216" i="13"/>
  <c r="G216" i="13"/>
  <c r="E216" i="13"/>
  <c r="D216" i="13"/>
  <c r="C216" i="13"/>
  <c r="B216" i="13"/>
  <c r="A216" i="13"/>
  <c r="B225" i="13"/>
  <c r="A225" i="13"/>
  <c r="J225" i="13"/>
  <c r="K225" i="13"/>
  <c r="I225" i="13"/>
  <c r="H225" i="13"/>
  <c r="G225" i="13"/>
  <c r="F225" i="13"/>
  <c r="E225" i="13"/>
  <c r="D225" i="13"/>
  <c r="C225" i="13"/>
  <c r="J223" i="13"/>
  <c r="I223" i="13"/>
  <c r="G223" i="13"/>
  <c r="B223" i="13"/>
  <c r="K223" i="13"/>
  <c r="H223" i="13"/>
  <c r="F223" i="13"/>
  <c r="E223" i="13"/>
  <c r="D223" i="13"/>
  <c r="C223" i="13"/>
  <c r="A223" i="13"/>
  <c r="C163" i="13"/>
  <c r="B163" i="13"/>
  <c r="A163" i="13"/>
  <c r="J163" i="13"/>
  <c r="K163" i="13"/>
  <c r="I163" i="13"/>
  <c r="H163" i="13"/>
  <c r="G163" i="13"/>
  <c r="F163" i="13"/>
  <c r="E163" i="13"/>
  <c r="D163" i="13"/>
  <c r="F238" i="13"/>
  <c r="E238" i="13"/>
  <c r="C238" i="13"/>
  <c r="B238" i="13"/>
  <c r="A238" i="13"/>
  <c r="D238" i="13"/>
  <c r="K238" i="13"/>
  <c r="J238" i="13"/>
  <c r="I238" i="13"/>
  <c r="H238" i="13"/>
  <c r="G238" i="13"/>
  <c r="K327" i="13"/>
  <c r="J327" i="13"/>
  <c r="I327" i="13"/>
  <c r="H327" i="13"/>
  <c r="G327" i="13"/>
  <c r="F327" i="13"/>
  <c r="E327" i="13"/>
  <c r="C327" i="13"/>
  <c r="B327" i="13"/>
  <c r="A327" i="13"/>
  <c r="D327" i="13"/>
  <c r="G306" i="13"/>
  <c r="F306" i="13"/>
  <c r="E306" i="13"/>
  <c r="D306" i="13"/>
  <c r="C306" i="13"/>
  <c r="B306" i="13"/>
  <c r="A306" i="13"/>
  <c r="K306" i="13"/>
  <c r="J306" i="13"/>
  <c r="I306" i="13"/>
  <c r="H306" i="13"/>
  <c r="K228" i="13"/>
  <c r="J228" i="13"/>
  <c r="F228" i="13"/>
  <c r="A228" i="13"/>
  <c r="I228" i="13"/>
  <c r="H228" i="13"/>
  <c r="G228" i="13"/>
  <c r="E228" i="13"/>
  <c r="D228" i="13"/>
  <c r="C228" i="13"/>
  <c r="B228" i="13"/>
  <c r="K26" i="13"/>
  <c r="J26" i="13"/>
  <c r="I26" i="13"/>
  <c r="G26" i="13"/>
  <c r="F26" i="13"/>
  <c r="H26" i="13"/>
  <c r="E26" i="13"/>
  <c r="D26" i="13"/>
  <c r="C26" i="13"/>
  <c r="B26" i="13"/>
  <c r="A26" i="13"/>
  <c r="G124" i="13"/>
  <c r="F124" i="13"/>
  <c r="E124" i="13"/>
  <c r="A124" i="13"/>
  <c r="K124" i="13"/>
  <c r="J124" i="13"/>
  <c r="I124" i="13"/>
  <c r="H124" i="13"/>
  <c r="D124" i="13"/>
  <c r="C124" i="13"/>
  <c r="B124" i="13"/>
  <c r="C36" i="13"/>
  <c r="B36" i="13"/>
  <c r="A36" i="13"/>
  <c r="I36" i="13"/>
  <c r="H36" i="13"/>
  <c r="G36" i="13"/>
  <c r="F36" i="13"/>
  <c r="E36" i="13"/>
  <c r="D36" i="13"/>
  <c r="K36" i="13"/>
  <c r="J36" i="13"/>
  <c r="C100" i="13"/>
  <c r="B100" i="13"/>
  <c r="A100" i="13"/>
  <c r="K100" i="13"/>
  <c r="J100" i="13"/>
  <c r="I100" i="13"/>
  <c r="H100" i="13"/>
  <c r="G100" i="13"/>
  <c r="F100" i="13"/>
  <c r="E100" i="13"/>
  <c r="D100" i="13"/>
  <c r="K300" i="13"/>
  <c r="J300" i="13"/>
  <c r="I300" i="13"/>
  <c r="H300" i="13"/>
  <c r="G300" i="13"/>
  <c r="F300" i="13"/>
  <c r="E300" i="13"/>
  <c r="D300" i="13"/>
  <c r="C300" i="13"/>
  <c r="B300" i="13"/>
  <c r="A300" i="13"/>
  <c r="F381" i="13"/>
  <c r="D381" i="13"/>
  <c r="C381" i="13"/>
  <c r="A381" i="13"/>
  <c r="K381" i="13"/>
  <c r="J381" i="13"/>
  <c r="I381" i="13"/>
  <c r="H381" i="13"/>
  <c r="G381" i="13"/>
  <c r="E381" i="13"/>
  <c r="B381" i="13"/>
  <c r="B388" i="13"/>
  <c r="J388" i="13"/>
  <c r="D388" i="13"/>
  <c r="C388" i="13"/>
  <c r="A388" i="13"/>
  <c r="K388" i="13"/>
  <c r="I388" i="13"/>
  <c r="H388" i="13"/>
  <c r="G388" i="13"/>
  <c r="F388" i="13"/>
  <c r="E388" i="13"/>
  <c r="K98" i="13"/>
  <c r="J98" i="13"/>
  <c r="I98" i="13"/>
  <c r="H98" i="13"/>
  <c r="G98" i="13"/>
  <c r="F98" i="13"/>
  <c r="E98" i="13"/>
  <c r="D98" i="13"/>
  <c r="C98" i="13"/>
  <c r="B98" i="13"/>
  <c r="A98" i="13"/>
  <c r="B368" i="13"/>
  <c r="J368" i="13"/>
  <c r="K368" i="13"/>
  <c r="I368" i="13"/>
  <c r="H368" i="13"/>
  <c r="G368" i="13"/>
  <c r="F368" i="13"/>
  <c r="E368" i="13"/>
  <c r="D368" i="13"/>
  <c r="C368" i="13"/>
  <c r="A368" i="13"/>
  <c r="G108" i="13"/>
  <c r="F108" i="13"/>
  <c r="E108" i="13"/>
  <c r="K108" i="13"/>
  <c r="J108" i="13"/>
  <c r="I108" i="13"/>
  <c r="H108" i="13"/>
  <c r="D108" i="13"/>
  <c r="C108" i="13"/>
  <c r="B108" i="13"/>
  <c r="A108" i="13"/>
  <c r="K198" i="13"/>
  <c r="J198" i="13"/>
  <c r="I198" i="13"/>
  <c r="H198" i="13"/>
  <c r="G198" i="13"/>
  <c r="F198" i="13"/>
  <c r="E198" i="13"/>
  <c r="C198" i="13"/>
  <c r="B198" i="13"/>
  <c r="D198" i="13"/>
  <c r="A198" i="13"/>
  <c r="G168" i="13"/>
  <c r="F168" i="13"/>
  <c r="E168" i="13"/>
  <c r="D168" i="13"/>
  <c r="C168" i="13"/>
  <c r="B168" i="13"/>
  <c r="A168" i="13"/>
  <c r="K168" i="13"/>
  <c r="J168" i="13"/>
  <c r="I168" i="13"/>
  <c r="H168" i="13"/>
  <c r="C179" i="13"/>
  <c r="B179" i="13"/>
  <c r="A179" i="13"/>
  <c r="K179" i="13"/>
  <c r="J179" i="13"/>
  <c r="I179" i="13"/>
  <c r="H179" i="13"/>
  <c r="G179" i="13"/>
  <c r="F179" i="13"/>
  <c r="E179" i="13"/>
  <c r="D179" i="13"/>
  <c r="K292" i="13"/>
  <c r="J292" i="13"/>
  <c r="I292" i="13"/>
  <c r="H292" i="13"/>
  <c r="G292" i="13"/>
  <c r="F292" i="13"/>
  <c r="E292" i="13"/>
  <c r="D292" i="13"/>
  <c r="C292" i="13"/>
  <c r="B292" i="13"/>
  <c r="A292" i="13"/>
  <c r="K307" i="13"/>
  <c r="J307" i="13"/>
  <c r="I307" i="13"/>
  <c r="F307" i="13"/>
  <c r="E307" i="13"/>
  <c r="H307" i="13"/>
  <c r="G307" i="13"/>
  <c r="D307" i="13"/>
  <c r="C307" i="13"/>
  <c r="B307" i="13"/>
  <c r="A307" i="13"/>
  <c r="G184" i="13"/>
  <c r="F184" i="13"/>
  <c r="E184" i="13"/>
  <c r="D184" i="13"/>
  <c r="C184" i="13"/>
  <c r="B184" i="13"/>
  <c r="A184" i="13"/>
  <c r="K184" i="13"/>
  <c r="J184" i="13"/>
  <c r="I184" i="13"/>
  <c r="H184" i="13"/>
  <c r="AA48" i="3"/>
  <c r="K42" i="13"/>
  <c r="J42" i="13"/>
  <c r="I42" i="13"/>
  <c r="G42" i="13"/>
  <c r="F42" i="13"/>
  <c r="E42" i="13"/>
  <c r="D42" i="13"/>
  <c r="C42" i="13"/>
  <c r="B42" i="13"/>
  <c r="A42" i="13"/>
  <c r="H42" i="13"/>
  <c r="K154" i="13"/>
  <c r="J154" i="13"/>
  <c r="I154" i="13"/>
  <c r="F154" i="13"/>
  <c r="G154" i="13"/>
  <c r="E154" i="13"/>
  <c r="D154" i="13"/>
  <c r="C154" i="13"/>
  <c r="B154" i="13"/>
  <c r="A154" i="13"/>
  <c r="H154" i="13"/>
  <c r="F282" i="13"/>
  <c r="E282" i="13"/>
  <c r="D282" i="13"/>
  <c r="C282" i="13"/>
  <c r="B282" i="13"/>
  <c r="A282" i="13"/>
  <c r="K282" i="13"/>
  <c r="J282" i="13"/>
  <c r="I282" i="13"/>
  <c r="H282" i="13"/>
  <c r="G282" i="13"/>
  <c r="K268" i="13"/>
  <c r="J268" i="13"/>
  <c r="I268" i="13"/>
  <c r="H268" i="13"/>
  <c r="G268" i="13"/>
  <c r="F268" i="13"/>
  <c r="E268" i="13"/>
  <c r="D268" i="13"/>
  <c r="C268" i="13"/>
  <c r="B268" i="13"/>
  <c r="A268" i="13"/>
  <c r="G196" i="13"/>
  <c r="F196" i="13"/>
  <c r="E196" i="13"/>
  <c r="D196" i="13"/>
  <c r="C196" i="13"/>
  <c r="B196" i="13"/>
  <c r="A196" i="13"/>
  <c r="K196" i="13"/>
  <c r="J196" i="13"/>
  <c r="I196" i="13"/>
  <c r="H196" i="13"/>
  <c r="C115" i="13"/>
  <c r="B115" i="13"/>
  <c r="A115" i="13"/>
  <c r="K115" i="13"/>
  <c r="J115" i="13"/>
  <c r="I115" i="13"/>
  <c r="H115" i="13"/>
  <c r="G115" i="13"/>
  <c r="F115" i="13"/>
  <c r="E115" i="13"/>
  <c r="D115" i="13"/>
  <c r="J370" i="13"/>
  <c r="G370" i="13"/>
  <c r="B370" i="13"/>
  <c r="K370" i="13"/>
  <c r="I370" i="13"/>
  <c r="H370" i="13"/>
  <c r="F370" i="13"/>
  <c r="E370" i="13"/>
  <c r="D370" i="13"/>
  <c r="C370" i="13"/>
  <c r="A370" i="13"/>
  <c r="G188" i="13"/>
  <c r="F188" i="13"/>
  <c r="E188" i="13"/>
  <c r="D188" i="13"/>
  <c r="C188" i="13"/>
  <c r="B188" i="13"/>
  <c r="A188" i="13"/>
  <c r="K188" i="13"/>
  <c r="J188" i="13"/>
  <c r="I188" i="13"/>
  <c r="H188" i="13"/>
  <c r="C289" i="13"/>
  <c r="B289" i="13"/>
  <c r="A289" i="13"/>
  <c r="K289" i="13"/>
  <c r="J289" i="13"/>
  <c r="I289" i="13"/>
  <c r="H289" i="13"/>
  <c r="G289" i="13"/>
  <c r="F289" i="13"/>
  <c r="E289" i="13"/>
  <c r="D289" i="13"/>
  <c r="K182" i="13"/>
  <c r="J182" i="13"/>
  <c r="I182" i="13"/>
  <c r="G182" i="13"/>
  <c r="F182" i="13"/>
  <c r="E182" i="13"/>
  <c r="H182" i="13"/>
  <c r="D182" i="13"/>
  <c r="C182" i="13"/>
  <c r="B182" i="13"/>
  <c r="A182" i="13"/>
  <c r="C107" i="13"/>
  <c r="B107" i="13"/>
  <c r="A107" i="13"/>
  <c r="I107" i="13"/>
  <c r="H107" i="13"/>
  <c r="G107" i="13"/>
  <c r="F107" i="13"/>
  <c r="E107" i="13"/>
  <c r="D107" i="13"/>
  <c r="K107" i="13"/>
  <c r="J107" i="13"/>
  <c r="K55" i="13"/>
  <c r="J55" i="13"/>
  <c r="I55" i="13"/>
  <c r="F55" i="13"/>
  <c r="H55" i="13"/>
  <c r="G55" i="13"/>
  <c r="E55" i="13"/>
  <c r="D55" i="13"/>
  <c r="C55" i="13"/>
  <c r="B55" i="13"/>
  <c r="A55" i="13"/>
  <c r="AA43" i="12"/>
  <c r="C305" i="13"/>
  <c r="B305" i="13"/>
  <c r="A305" i="13"/>
  <c r="K305" i="13"/>
  <c r="J305" i="13"/>
  <c r="I305" i="13"/>
  <c r="H305" i="13"/>
  <c r="G305" i="13"/>
  <c r="F305" i="13"/>
  <c r="E305" i="13"/>
  <c r="D305" i="13"/>
  <c r="G176" i="13"/>
  <c r="F176" i="13"/>
  <c r="E176" i="13"/>
  <c r="D176" i="13"/>
  <c r="C176" i="13"/>
  <c r="B176" i="13"/>
  <c r="A176" i="13"/>
  <c r="K176" i="13"/>
  <c r="J176" i="13"/>
  <c r="I176" i="13"/>
  <c r="H176" i="13"/>
  <c r="J263" i="13"/>
  <c r="I263" i="13"/>
  <c r="H263" i="13"/>
  <c r="G263" i="13"/>
  <c r="F263" i="13"/>
  <c r="E263" i="13"/>
  <c r="D263" i="13"/>
  <c r="C263" i="13"/>
  <c r="B263" i="13"/>
  <c r="A263" i="13"/>
  <c r="K263" i="13"/>
  <c r="J312" i="13"/>
  <c r="I312" i="13"/>
  <c r="G312" i="13"/>
  <c r="C312" i="13"/>
  <c r="B312" i="13"/>
  <c r="A312" i="13"/>
  <c r="K312" i="13"/>
  <c r="H312" i="13"/>
  <c r="F312" i="13"/>
  <c r="E312" i="13"/>
  <c r="D312" i="13"/>
  <c r="K38" i="13"/>
  <c r="J38" i="13"/>
  <c r="I38" i="13"/>
  <c r="G38" i="13"/>
  <c r="F38" i="13"/>
  <c r="H38" i="13"/>
  <c r="E38" i="13"/>
  <c r="D38" i="13"/>
  <c r="C38" i="13"/>
  <c r="B38" i="13"/>
  <c r="A38" i="13"/>
  <c r="K284" i="13"/>
  <c r="J284" i="13"/>
  <c r="I284" i="13"/>
  <c r="H284" i="13"/>
  <c r="G284" i="13"/>
  <c r="F284" i="13"/>
  <c r="E284" i="13"/>
  <c r="D284" i="13"/>
  <c r="C284" i="13"/>
  <c r="B284" i="13"/>
  <c r="A284" i="13"/>
  <c r="K220" i="13"/>
  <c r="F220" i="13"/>
  <c r="I220" i="13"/>
  <c r="H220" i="13"/>
  <c r="G220" i="13"/>
  <c r="E220" i="13"/>
  <c r="D220" i="13"/>
  <c r="C220" i="13"/>
  <c r="B220" i="13"/>
  <c r="A220" i="13"/>
  <c r="J220" i="13"/>
  <c r="C60" i="13"/>
  <c r="B60" i="13"/>
  <c r="A60" i="13"/>
  <c r="J60" i="13"/>
  <c r="K60" i="13"/>
  <c r="I60" i="13"/>
  <c r="H60" i="13"/>
  <c r="G60" i="13"/>
  <c r="F60" i="13"/>
  <c r="E60" i="13"/>
  <c r="D60" i="13"/>
  <c r="C40" i="13"/>
  <c r="B40" i="13"/>
  <c r="A40" i="13"/>
  <c r="H40" i="13"/>
  <c r="G40" i="13"/>
  <c r="F40" i="13"/>
  <c r="E40" i="13"/>
  <c r="D40" i="13"/>
  <c r="K40" i="13"/>
  <c r="J40" i="13"/>
  <c r="I40" i="13"/>
  <c r="G152" i="13"/>
  <c r="F152" i="13"/>
  <c r="E152" i="13"/>
  <c r="C152" i="13"/>
  <c r="B152" i="13"/>
  <c r="A152" i="13"/>
  <c r="H152" i="13"/>
  <c r="D152" i="13"/>
  <c r="K152" i="13"/>
  <c r="J152" i="13"/>
  <c r="I152" i="13"/>
  <c r="C195" i="13"/>
  <c r="B195" i="13"/>
  <c r="A195" i="13"/>
  <c r="K195" i="13"/>
  <c r="J195" i="13"/>
  <c r="I195" i="13"/>
  <c r="G195" i="13"/>
  <c r="F195" i="13"/>
  <c r="D195" i="13"/>
  <c r="H195" i="13"/>
  <c r="E195" i="13"/>
  <c r="F278" i="13"/>
  <c r="E278" i="13"/>
  <c r="D278" i="13"/>
  <c r="C278" i="13"/>
  <c r="B278" i="13"/>
  <c r="A278" i="13"/>
  <c r="K278" i="13"/>
  <c r="J278" i="13"/>
  <c r="I278" i="13"/>
  <c r="H278" i="13"/>
  <c r="G278" i="13"/>
  <c r="K348" i="13"/>
  <c r="J348" i="13"/>
  <c r="I348" i="13"/>
  <c r="G348" i="13"/>
  <c r="F348" i="13"/>
  <c r="E348" i="13"/>
  <c r="H348" i="13"/>
  <c r="D348" i="13"/>
  <c r="C348" i="13"/>
  <c r="B348" i="13"/>
  <c r="A348" i="13"/>
  <c r="C341" i="13"/>
  <c r="B341" i="13"/>
  <c r="A341" i="13"/>
  <c r="K341" i="13"/>
  <c r="J341" i="13"/>
  <c r="I341" i="13"/>
  <c r="G341" i="13"/>
  <c r="F341" i="13"/>
  <c r="E341" i="13"/>
  <c r="D341" i="13"/>
  <c r="H341" i="13"/>
  <c r="F409" i="13"/>
  <c r="E409" i="13"/>
  <c r="D409" i="13"/>
  <c r="C409" i="13"/>
  <c r="K409" i="13"/>
  <c r="J409" i="13"/>
  <c r="I409" i="13"/>
  <c r="H409" i="13"/>
  <c r="G409" i="13"/>
  <c r="B409" i="13"/>
  <c r="A409" i="13"/>
  <c r="K149" i="13"/>
  <c r="J149" i="13"/>
  <c r="I149" i="13"/>
  <c r="G149" i="13"/>
  <c r="F149" i="13"/>
  <c r="E149" i="13"/>
  <c r="H149" i="13"/>
  <c r="D149" i="13"/>
  <c r="C149" i="13"/>
  <c r="B149" i="13"/>
  <c r="A149" i="13"/>
  <c r="K50" i="13"/>
  <c r="J50" i="13"/>
  <c r="I50" i="13"/>
  <c r="H50" i="13"/>
  <c r="G50" i="13"/>
  <c r="F50" i="13"/>
  <c r="B50" i="13"/>
  <c r="E50" i="13"/>
  <c r="D50" i="13"/>
  <c r="C50" i="13"/>
  <c r="A50" i="13"/>
  <c r="K109" i="13"/>
  <c r="J109" i="13"/>
  <c r="I109" i="13"/>
  <c r="D109" i="13"/>
  <c r="C109" i="13"/>
  <c r="B109" i="13"/>
  <c r="A109" i="13"/>
  <c r="H109" i="13"/>
  <c r="G109" i="13"/>
  <c r="F109" i="13"/>
  <c r="E109" i="13"/>
  <c r="I304" i="13"/>
  <c r="H304" i="13"/>
  <c r="G304" i="13"/>
  <c r="F304" i="13"/>
  <c r="E304" i="13"/>
  <c r="D304" i="13"/>
  <c r="C304" i="13"/>
  <c r="B304" i="13"/>
  <c r="A304" i="13"/>
  <c r="K304" i="13"/>
  <c r="J304" i="13"/>
  <c r="K133" i="13"/>
  <c r="J133" i="13"/>
  <c r="I133" i="13"/>
  <c r="G133" i="13"/>
  <c r="H133" i="13"/>
  <c r="F133" i="13"/>
  <c r="E133" i="13"/>
  <c r="D133" i="13"/>
  <c r="C133" i="13"/>
  <c r="B133" i="13"/>
  <c r="A133" i="13"/>
  <c r="G180" i="13"/>
  <c r="F180" i="13"/>
  <c r="E180" i="13"/>
  <c r="D180" i="13"/>
  <c r="C180" i="13"/>
  <c r="B180" i="13"/>
  <c r="A180" i="13"/>
  <c r="K180" i="13"/>
  <c r="J180" i="13"/>
  <c r="I180" i="13"/>
  <c r="H180" i="13"/>
  <c r="F361" i="13"/>
  <c r="C361" i="13"/>
  <c r="H361" i="13"/>
  <c r="G361" i="13"/>
  <c r="E361" i="13"/>
  <c r="D361" i="13"/>
  <c r="B361" i="13"/>
  <c r="A361" i="13"/>
  <c r="K361" i="13"/>
  <c r="J361" i="13"/>
  <c r="I361" i="13"/>
  <c r="K280" i="13"/>
  <c r="J280" i="13"/>
  <c r="I280" i="13"/>
  <c r="H280" i="13"/>
  <c r="G280" i="13"/>
  <c r="F280" i="13"/>
  <c r="E280" i="13"/>
  <c r="D280" i="13"/>
  <c r="C280" i="13"/>
  <c r="B280" i="13"/>
  <c r="A280" i="13"/>
  <c r="G97" i="13"/>
  <c r="F97" i="13"/>
  <c r="E97" i="13"/>
  <c r="D97" i="13"/>
  <c r="C97" i="13"/>
  <c r="B97" i="13"/>
  <c r="A97" i="13"/>
  <c r="K97" i="13"/>
  <c r="J97" i="13"/>
  <c r="I97" i="13"/>
  <c r="H97" i="13"/>
  <c r="B400" i="13"/>
  <c r="J400" i="13"/>
  <c r="I400" i="13"/>
  <c r="K400" i="13"/>
  <c r="H400" i="13"/>
  <c r="G400" i="13"/>
  <c r="F400" i="13"/>
  <c r="E400" i="13"/>
  <c r="D400" i="13"/>
  <c r="C400" i="13"/>
  <c r="A400" i="13"/>
  <c r="C139" i="13"/>
  <c r="B139" i="13"/>
  <c r="A139" i="13"/>
  <c r="I139" i="13"/>
  <c r="H139" i="13"/>
  <c r="G139" i="13"/>
  <c r="F139" i="13"/>
  <c r="E139" i="13"/>
  <c r="D139" i="13"/>
  <c r="K139" i="13"/>
  <c r="J139" i="13"/>
  <c r="K130" i="13"/>
  <c r="H130" i="13"/>
  <c r="G130" i="13"/>
  <c r="F130" i="13"/>
  <c r="E130" i="13"/>
  <c r="D130" i="13"/>
  <c r="C130" i="13"/>
  <c r="B130" i="13"/>
  <c r="A130" i="13"/>
  <c r="J130" i="13"/>
  <c r="I130" i="13"/>
  <c r="G160" i="13"/>
  <c r="F160" i="13"/>
  <c r="E160" i="13"/>
  <c r="D160" i="13"/>
  <c r="C160" i="13"/>
  <c r="B160" i="13"/>
  <c r="A160" i="13"/>
  <c r="K160" i="13"/>
  <c r="J160" i="13"/>
  <c r="I160" i="13"/>
  <c r="H160" i="13"/>
  <c r="K303" i="13"/>
  <c r="J303" i="13"/>
  <c r="I303" i="13"/>
  <c r="B303" i="13"/>
  <c r="A303" i="13"/>
  <c r="H303" i="13"/>
  <c r="G303" i="13"/>
  <c r="F303" i="13"/>
  <c r="E303" i="13"/>
  <c r="D303" i="13"/>
  <c r="C303" i="13"/>
  <c r="K212" i="13"/>
  <c r="B212" i="13"/>
  <c r="A212" i="13"/>
  <c r="J212" i="13"/>
  <c r="I212" i="13"/>
  <c r="H212" i="13"/>
  <c r="G212" i="13"/>
  <c r="F212" i="13"/>
  <c r="E212" i="13"/>
  <c r="D212" i="13"/>
  <c r="C212" i="13"/>
  <c r="K145" i="13"/>
  <c r="J145" i="13"/>
  <c r="I145" i="13"/>
  <c r="G145" i="13"/>
  <c r="F145" i="13"/>
  <c r="E145" i="13"/>
  <c r="H145" i="13"/>
  <c r="D145" i="13"/>
  <c r="C145" i="13"/>
  <c r="B145" i="13"/>
  <c r="A145" i="13"/>
  <c r="F405" i="13"/>
  <c r="D405" i="13"/>
  <c r="C405" i="13"/>
  <c r="K405" i="13"/>
  <c r="J405" i="13"/>
  <c r="I405" i="13"/>
  <c r="H405" i="13"/>
  <c r="G405" i="13"/>
  <c r="E405" i="13"/>
  <c r="B405" i="13"/>
  <c r="A405" i="13"/>
  <c r="A22" i="3"/>
  <c r="E22" i="3"/>
  <c r="F22" i="3"/>
  <c r="D22" i="3"/>
  <c r="G9" i="13"/>
  <c r="F9" i="13"/>
  <c r="E9" i="13"/>
  <c r="A9" i="13"/>
  <c r="K9" i="13"/>
  <c r="J9" i="13"/>
  <c r="I9" i="13"/>
  <c r="H9" i="13"/>
  <c r="D9" i="13"/>
  <c r="C9" i="13"/>
  <c r="B9" i="13"/>
  <c r="K39" i="13"/>
  <c r="J39" i="13"/>
  <c r="I39" i="13"/>
  <c r="H39" i="13"/>
  <c r="G39" i="13"/>
  <c r="F39" i="13"/>
  <c r="E39" i="13"/>
  <c r="D39" i="13"/>
  <c r="C39" i="13"/>
  <c r="B39" i="13"/>
  <c r="A39" i="13"/>
  <c r="G120" i="13"/>
  <c r="F120" i="13"/>
  <c r="E120" i="13"/>
  <c r="K120" i="13"/>
  <c r="J120" i="13"/>
  <c r="I120" i="13"/>
  <c r="H120" i="13"/>
  <c r="D120" i="13"/>
  <c r="C120" i="13"/>
  <c r="B120" i="13"/>
  <c r="A120" i="13"/>
  <c r="F393" i="13"/>
  <c r="D393" i="13"/>
  <c r="C393" i="13"/>
  <c r="K393" i="13"/>
  <c r="J393" i="13"/>
  <c r="I393" i="13"/>
  <c r="H393" i="13"/>
  <c r="G393" i="13"/>
  <c r="E393" i="13"/>
  <c r="B393" i="13"/>
  <c r="A393" i="13"/>
  <c r="J11" i="13"/>
  <c r="K11" i="13"/>
  <c r="I11" i="13"/>
  <c r="H11" i="13"/>
  <c r="G11" i="13"/>
  <c r="F11" i="13"/>
  <c r="E11" i="13"/>
  <c r="D11" i="13"/>
  <c r="C11" i="13"/>
  <c r="B11" i="13"/>
  <c r="A11" i="13"/>
  <c r="K240" i="13"/>
  <c r="J240" i="13"/>
  <c r="I240" i="13"/>
  <c r="F240" i="13"/>
  <c r="D240" i="13"/>
  <c r="C240" i="13"/>
  <c r="B240" i="13"/>
  <c r="A240" i="13"/>
  <c r="H240" i="13"/>
  <c r="G240" i="13"/>
  <c r="E240" i="13"/>
  <c r="C325" i="13"/>
  <c r="B325" i="13"/>
  <c r="A325" i="13"/>
  <c r="K325" i="13"/>
  <c r="J325" i="13"/>
  <c r="I325" i="13"/>
  <c r="H325" i="13"/>
  <c r="G325" i="13"/>
  <c r="F325" i="13"/>
  <c r="E325" i="13"/>
  <c r="D325" i="13"/>
  <c r="B376" i="13"/>
  <c r="J376" i="13"/>
  <c r="A376" i="13"/>
  <c r="K376" i="13"/>
  <c r="I376" i="13"/>
  <c r="H376" i="13"/>
  <c r="G376" i="13"/>
  <c r="F376" i="13"/>
  <c r="E376" i="13"/>
  <c r="C376" i="13"/>
  <c r="D376" i="13"/>
  <c r="K339" i="13"/>
  <c r="J339" i="13"/>
  <c r="I339" i="13"/>
  <c r="H339" i="13"/>
  <c r="G339" i="13"/>
  <c r="F339" i="13"/>
  <c r="E339" i="13"/>
  <c r="C339" i="13"/>
  <c r="B339" i="13"/>
  <c r="A339" i="13"/>
  <c r="D339" i="13"/>
  <c r="G144" i="13"/>
  <c r="F144" i="13"/>
  <c r="E144" i="13"/>
  <c r="C144" i="13"/>
  <c r="B144" i="13"/>
  <c r="A144" i="13"/>
  <c r="K144" i="13"/>
  <c r="J144" i="13"/>
  <c r="I144" i="13"/>
  <c r="H144" i="13"/>
  <c r="D144" i="13"/>
  <c r="F254" i="13"/>
  <c r="E254" i="13"/>
  <c r="D254" i="13"/>
  <c r="C254" i="13"/>
  <c r="B254" i="13"/>
  <c r="A254" i="13"/>
  <c r="K254" i="13"/>
  <c r="J254" i="13"/>
  <c r="I254" i="13"/>
  <c r="H254" i="13"/>
  <c r="G254" i="13"/>
  <c r="B380" i="13"/>
  <c r="J380" i="13"/>
  <c r="K380" i="13"/>
  <c r="I380" i="13"/>
  <c r="H380" i="13"/>
  <c r="G380" i="13"/>
  <c r="F380" i="13"/>
  <c r="E380" i="13"/>
  <c r="D380" i="13"/>
  <c r="C380" i="13"/>
  <c r="A380" i="13"/>
  <c r="B277" i="13"/>
  <c r="A277" i="13"/>
  <c r="K277" i="13"/>
  <c r="J277" i="13"/>
  <c r="I277" i="13"/>
  <c r="H277" i="13"/>
  <c r="G277" i="13"/>
  <c r="F277" i="13"/>
  <c r="E277" i="13"/>
  <c r="D277" i="13"/>
  <c r="C277" i="13"/>
  <c r="G41" i="13"/>
  <c r="F41" i="13"/>
  <c r="E41" i="13"/>
  <c r="C41" i="13"/>
  <c r="B41" i="13"/>
  <c r="K41" i="13"/>
  <c r="J41" i="13"/>
  <c r="I41" i="13"/>
  <c r="H41" i="13"/>
  <c r="D41" i="13"/>
  <c r="A41" i="13"/>
  <c r="G13" i="13"/>
  <c r="F13" i="13"/>
  <c r="E13" i="13"/>
  <c r="B13" i="13"/>
  <c r="K13" i="13"/>
  <c r="J13" i="13"/>
  <c r="I13" i="13"/>
  <c r="H13" i="13"/>
  <c r="D13" i="13"/>
  <c r="C13" i="13"/>
  <c r="A13" i="13"/>
  <c r="K34" i="13"/>
  <c r="J34" i="13"/>
  <c r="I34" i="13"/>
  <c r="G34" i="13"/>
  <c r="F34" i="13"/>
  <c r="H34" i="13"/>
  <c r="E34" i="13"/>
  <c r="D34" i="13"/>
  <c r="C34" i="13"/>
  <c r="B34" i="13"/>
  <c r="A34" i="13"/>
  <c r="G21" i="13"/>
  <c r="F21" i="13"/>
  <c r="E21" i="13"/>
  <c r="B21" i="13"/>
  <c r="H21" i="13"/>
  <c r="D21" i="13"/>
  <c r="C21" i="13"/>
  <c r="A21" i="13"/>
  <c r="K21" i="13"/>
  <c r="J21" i="13"/>
  <c r="I21" i="13"/>
  <c r="AA31" i="12"/>
  <c r="AA32" i="12"/>
  <c r="J402" i="13"/>
  <c r="H402" i="13"/>
  <c r="G402" i="13"/>
  <c r="D402" i="13"/>
  <c r="B402" i="13"/>
  <c r="A402" i="13"/>
  <c r="K402" i="13"/>
  <c r="I402" i="13"/>
  <c r="F402" i="13"/>
  <c r="E402" i="13"/>
  <c r="C402" i="13"/>
  <c r="G350" i="13"/>
  <c r="F350" i="13"/>
  <c r="E350" i="13"/>
  <c r="D350" i="13"/>
  <c r="C350" i="13"/>
  <c r="B350" i="13"/>
  <c r="A350" i="13"/>
  <c r="K350" i="13"/>
  <c r="J350" i="13"/>
  <c r="I350" i="13"/>
  <c r="H350" i="13"/>
  <c r="K193" i="13"/>
  <c r="J193" i="13"/>
  <c r="I193" i="13"/>
  <c r="H193" i="13"/>
  <c r="G193" i="13"/>
  <c r="F193" i="13"/>
  <c r="E193" i="13"/>
  <c r="D193" i="13"/>
  <c r="C193" i="13"/>
  <c r="B193" i="13"/>
  <c r="A193" i="13"/>
  <c r="K169" i="13"/>
  <c r="J169" i="13"/>
  <c r="I169" i="13"/>
  <c r="H169" i="13"/>
  <c r="G169" i="13"/>
  <c r="F169" i="13"/>
  <c r="E169" i="13"/>
  <c r="B169" i="13"/>
  <c r="D169" i="13"/>
  <c r="C169" i="13"/>
  <c r="A169" i="13"/>
  <c r="J410" i="13"/>
  <c r="I410" i="13"/>
  <c r="H410" i="13"/>
  <c r="G410" i="13"/>
  <c r="D410" i="13"/>
  <c r="B410" i="13"/>
  <c r="A410" i="13"/>
  <c r="K410" i="13"/>
  <c r="F410" i="13"/>
  <c r="E410" i="13"/>
  <c r="C410" i="13"/>
  <c r="C76" i="13"/>
  <c r="B76" i="13"/>
  <c r="A76" i="13"/>
  <c r="K76" i="13"/>
  <c r="J76" i="13"/>
  <c r="I76" i="13"/>
  <c r="G76" i="13"/>
  <c r="H76" i="13"/>
  <c r="F76" i="13"/>
  <c r="E76" i="13"/>
  <c r="D76" i="13"/>
  <c r="J271" i="13"/>
  <c r="I271" i="13"/>
  <c r="H271" i="13"/>
  <c r="G271" i="13"/>
  <c r="F271" i="13"/>
  <c r="E271" i="13"/>
  <c r="D271" i="13"/>
  <c r="C271" i="13"/>
  <c r="B271" i="13"/>
  <c r="A271" i="13"/>
  <c r="K271" i="13"/>
  <c r="F206" i="13"/>
  <c r="E206" i="13"/>
  <c r="K206" i="13"/>
  <c r="J206" i="13"/>
  <c r="I206" i="13"/>
  <c r="H206" i="13"/>
  <c r="G206" i="13"/>
  <c r="D206" i="13"/>
  <c r="C206" i="13"/>
  <c r="B206" i="13"/>
  <c r="A206" i="13"/>
  <c r="K10" i="13"/>
  <c r="J10" i="13"/>
  <c r="I10" i="13"/>
  <c r="F10" i="13"/>
  <c r="H10" i="13"/>
  <c r="G10" i="13"/>
  <c r="E10" i="13"/>
  <c r="D10" i="13"/>
  <c r="C10" i="13"/>
  <c r="B10" i="13"/>
  <c r="A10" i="13"/>
  <c r="K260" i="13"/>
  <c r="J260" i="13"/>
  <c r="I260" i="13"/>
  <c r="H260" i="13"/>
  <c r="G260" i="13"/>
  <c r="F260" i="13"/>
  <c r="E260" i="13"/>
  <c r="C260" i="13"/>
  <c r="B260" i="13"/>
  <c r="A260" i="13"/>
  <c r="D260" i="13"/>
  <c r="C72" i="13"/>
  <c r="B72" i="13"/>
  <c r="A72" i="13"/>
  <c r="K72" i="13"/>
  <c r="J72" i="13"/>
  <c r="I72" i="13"/>
  <c r="G72" i="13"/>
  <c r="H72" i="13"/>
  <c r="F72" i="13"/>
  <c r="E72" i="13"/>
  <c r="D72" i="13"/>
  <c r="J215" i="13"/>
  <c r="I215" i="13"/>
  <c r="G215" i="13"/>
  <c r="B215" i="13"/>
  <c r="E215" i="13"/>
  <c r="D215" i="13"/>
  <c r="C215" i="13"/>
  <c r="A215" i="13"/>
  <c r="K215" i="13"/>
  <c r="H215" i="13"/>
  <c r="F215" i="13"/>
  <c r="F210" i="13"/>
  <c r="E210" i="13"/>
  <c r="G210" i="13"/>
  <c r="D210" i="13"/>
  <c r="C210" i="13"/>
  <c r="B210" i="13"/>
  <c r="A210" i="13"/>
  <c r="K210" i="13"/>
  <c r="J210" i="13"/>
  <c r="I210" i="13"/>
  <c r="H210" i="13"/>
  <c r="AA44" i="12"/>
  <c r="G25" i="13"/>
  <c r="F25" i="13"/>
  <c r="E25" i="13"/>
  <c r="C25" i="13"/>
  <c r="B25" i="13"/>
  <c r="K25" i="13"/>
  <c r="J25" i="13"/>
  <c r="I25" i="13"/>
  <c r="H25" i="13"/>
  <c r="D25" i="13"/>
  <c r="A25" i="13"/>
  <c r="G29" i="13"/>
  <c r="F29" i="13"/>
  <c r="E29" i="13"/>
  <c r="C29" i="13"/>
  <c r="B29" i="13"/>
  <c r="K29" i="13"/>
  <c r="J29" i="13"/>
  <c r="I29" i="13"/>
  <c r="H29" i="13"/>
  <c r="D29" i="13"/>
  <c r="A29" i="13"/>
  <c r="K153" i="13"/>
  <c r="J153" i="13"/>
  <c r="I153" i="13"/>
  <c r="G153" i="13"/>
  <c r="F153" i="13"/>
  <c r="E153" i="13"/>
  <c r="H153" i="13"/>
  <c r="D153" i="13"/>
  <c r="C153" i="13"/>
  <c r="B153" i="13"/>
  <c r="A153" i="13"/>
  <c r="K90" i="13"/>
  <c r="J90" i="13"/>
  <c r="I90" i="13"/>
  <c r="H90" i="13"/>
  <c r="G90" i="13"/>
  <c r="F90" i="13"/>
  <c r="E90" i="13"/>
  <c r="D90" i="13"/>
  <c r="C90" i="13"/>
  <c r="B90" i="13"/>
  <c r="A90" i="13"/>
  <c r="K27" i="13"/>
  <c r="J27" i="13"/>
  <c r="B27" i="13"/>
  <c r="A27" i="13"/>
  <c r="I27" i="13"/>
  <c r="H27" i="13"/>
  <c r="G27" i="13"/>
  <c r="F27" i="13"/>
  <c r="E27" i="13"/>
  <c r="D27" i="13"/>
  <c r="C27" i="13"/>
  <c r="K344" i="13"/>
  <c r="J344" i="13"/>
  <c r="I344" i="13"/>
  <c r="G344" i="13"/>
  <c r="F344" i="13"/>
  <c r="E344" i="13"/>
  <c r="H344" i="13"/>
  <c r="D344" i="13"/>
  <c r="C344" i="13"/>
  <c r="B344" i="13"/>
  <c r="A344" i="13"/>
  <c r="K415" i="13"/>
  <c r="H415" i="13"/>
  <c r="G415" i="13"/>
  <c r="F415" i="13"/>
  <c r="E415" i="13"/>
  <c r="J415" i="13"/>
  <c r="I415" i="13"/>
  <c r="D415" i="13"/>
  <c r="C415" i="13"/>
  <c r="B415" i="13"/>
  <c r="A415" i="13"/>
  <c r="G290" i="13"/>
  <c r="F290" i="13"/>
  <c r="E290" i="13"/>
  <c r="K290" i="13"/>
  <c r="J290" i="13"/>
  <c r="I290" i="13"/>
  <c r="H290" i="13"/>
  <c r="D290" i="13"/>
  <c r="C290" i="13"/>
  <c r="B290" i="13"/>
  <c r="A290" i="13"/>
  <c r="G81" i="13"/>
  <c r="F81" i="13"/>
  <c r="E81" i="13"/>
  <c r="D81" i="13"/>
  <c r="C81" i="13"/>
  <c r="B81" i="13"/>
  <c r="A81" i="13"/>
  <c r="K81" i="13"/>
  <c r="J81" i="13"/>
  <c r="I81" i="13"/>
  <c r="H81" i="13"/>
  <c r="J382" i="13"/>
  <c r="H382" i="13"/>
  <c r="G382" i="13"/>
  <c r="B382" i="13"/>
  <c r="K382" i="13"/>
  <c r="I382" i="13"/>
  <c r="F382" i="13"/>
  <c r="E382" i="13"/>
  <c r="D382" i="13"/>
  <c r="C382" i="13"/>
  <c r="A382" i="13"/>
  <c r="G69" i="13"/>
  <c r="F69" i="13"/>
  <c r="E69" i="13"/>
  <c r="D69" i="13"/>
  <c r="C69" i="13"/>
  <c r="B69" i="13"/>
  <c r="A69" i="13"/>
  <c r="K69" i="13"/>
  <c r="I69" i="13"/>
  <c r="H69" i="13"/>
  <c r="J69" i="13"/>
  <c r="G128" i="13"/>
  <c r="F128" i="13"/>
  <c r="E128" i="13"/>
  <c r="K128" i="13"/>
  <c r="J128" i="13"/>
  <c r="I128" i="13"/>
  <c r="H128" i="13"/>
  <c r="D128" i="13"/>
  <c r="C128" i="13"/>
  <c r="B128" i="13"/>
  <c r="A128" i="13"/>
  <c r="K356" i="13"/>
  <c r="J356" i="13"/>
  <c r="I356" i="13"/>
  <c r="H356" i="13"/>
  <c r="G356" i="13"/>
  <c r="F356" i="13"/>
  <c r="E356" i="13"/>
  <c r="D356" i="13"/>
  <c r="C356" i="13"/>
  <c r="B356" i="13"/>
  <c r="A356" i="13"/>
  <c r="G294" i="13"/>
  <c r="F294" i="13"/>
  <c r="E294" i="13"/>
  <c r="K294" i="13"/>
  <c r="J294" i="13"/>
  <c r="I294" i="13"/>
  <c r="H294" i="13"/>
  <c r="D294" i="13"/>
  <c r="C294" i="13"/>
  <c r="B294" i="13"/>
  <c r="A294" i="13"/>
  <c r="K343" i="13"/>
  <c r="J343" i="13"/>
  <c r="I343" i="13"/>
  <c r="H343" i="13"/>
  <c r="G343" i="13"/>
  <c r="F343" i="13"/>
  <c r="E343" i="13"/>
  <c r="C343" i="13"/>
  <c r="B343" i="13"/>
  <c r="A343" i="13"/>
  <c r="D343" i="13"/>
  <c r="G132" i="13"/>
  <c r="F132" i="13"/>
  <c r="E132" i="13"/>
  <c r="C132" i="13"/>
  <c r="H132" i="13"/>
  <c r="D132" i="13"/>
  <c r="B132" i="13"/>
  <c r="A132" i="13"/>
  <c r="K132" i="13"/>
  <c r="J132" i="13"/>
  <c r="I132" i="13"/>
  <c r="G17" i="13"/>
  <c r="F17" i="13"/>
  <c r="E17" i="13"/>
  <c r="B17" i="13"/>
  <c r="K17" i="13"/>
  <c r="J17" i="13"/>
  <c r="I17" i="13"/>
  <c r="H17" i="13"/>
  <c r="D17" i="13"/>
  <c r="C17" i="13"/>
  <c r="A17" i="13"/>
  <c r="K95" i="13"/>
  <c r="J95" i="13"/>
  <c r="I95" i="13"/>
  <c r="H95" i="13"/>
  <c r="G95" i="13"/>
  <c r="F95" i="13"/>
  <c r="E95" i="13"/>
  <c r="D95" i="13"/>
  <c r="C95" i="13"/>
  <c r="B95" i="13"/>
  <c r="A95" i="13"/>
  <c r="K331" i="13"/>
  <c r="J331" i="13"/>
  <c r="I331" i="13"/>
  <c r="H331" i="13"/>
  <c r="G331" i="13"/>
  <c r="F331" i="13"/>
  <c r="E331" i="13"/>
  <c r="C331" i="13"/>
  <c r="B331" i="13"/>
  <c r="A331" i="13"/>
  <c r="D331" i="13"/>
  <c r="G148" i="13"/>
  <c r="F148" i="13"/>
  <c r="E148" i="13"/>
  <c r="C148" i="13"/>
  <c r="B148" i="13"/>
  <c r="A148" i="13"/>
  <c r="K148" i="13"/>
  <c r="J148" i="13"/>
  <c r="I148" i="13"/>
  <c r="H148" i="13"/>
  <c r="D148" i="13"/>
  <c r="G318" i="13"/>
  <c r="F318" i="13"/>
  <c r="E318" i="13"/>
  <c r="C318" i="13"/>
  <c r="B318" i="13"/>
  <c r="A318" i="13"/>
  <c r="K318" i="13"/>
  <c r="J318" i="13"/>
  <c r="I318" i="13"/>
  <c r="H318" i="13"/>
  <c r="D318" i="13"/>
  <c r="C293" i="13"/>
  <c r="B293" i="13"/>
  <c r="A293" i="13"/>
  <c r="E293" i="13"/>
  <c r="D293" i="13"/>
  <c r="K293" i="13"/>
  <c r="J293" i="13"/>
  <c r="I293" i="13"/>
  <c r="H293" i="13"/>
  <c r="G293" i="13"/>
  <c r="F293" i="13"/>
  <c r="F234" i="13"/>
  <c r="E234" i="13"/>
  <c r="C234" i="13"/>
  <c r="B234" i="13"/>
  <c r="A234" i="13"/>
  <c r="K234" i="13"/>
  <c r="J234" i="13"/>
  <c r="I234" i="13"/>
  <c r="H234" i="13"/>
  <c r="G234" i="13"/>
  <c r="D234" i="13"/>
  <c r="G314" i="13"/>
  <c r="F314" i="13"/>
  <c r="E314" i="13"/>
  <c r="B314" i="13"/>
  <c r="A314" i="13"/>
  <c r="D314" i="13"/>
  <c r="C314" i="13"/>
  <c r="K314" i="13"/>
  <c r="J314" i="13"/>
  <c r="I314" i="13"/>
  <c r="H314" i="13"/>
  <c r="C127" i="13"/>
  <c r="B127" i="13"/>
  <c r="A127" i="13"/>
  <c r="F127" i="13"/>
  <c r="E127" i="13"/>
  <c r="D127" i="13"/>
  <c r="K127" i="13"/>
  <c r="J127" i="13"/>
  <c r="I127" i="13"/>
  <c r="H127" i="13"/>
  <c r="G127" i="13"/>
  <c r="G200" i="13"/>
  <c r="F200" i="13"/>
  <c r="E200" i="13"/>
  <c r="D200" i="13"/>
  <c r="C200" i="13"/>
  <c r="B200" i="13"/>
  <c r="A200" i="13"/>
  <c r="K200" i="13"/>
  <c r="J200" i="13"/>
  <c r="I200" i="13"/>
  <c r="H200" i="13"/>
  <c r="K142" i="13"/>
  <c r="J142" i="13"/>
  <c r="I142" i="13"/>
  <c r="H142" i="13"/>
  <c r="G142" i="13"/>
  <c r="F142" i="13"/>
  <c r="E142" i="13"/>
  <c r="D142" i="13"/>
  <c r="C142" i="13"/>
  <c r="B142" i="13"/>
  <c r="A142" i="13"/>
  <c r="G338" i="13"/>
  <c r="F338" i="13"/>
  <c r="E338" i="13"/>
  <c r="D338" i="13"/>
  <c r="C338" i="13"/>
  <c r="B338" i="13"/>
  <c r="A338" i="13"/>
  <c r="K338" i="13"/>
  <c r="J338" i="13"/>
  <c r="I338" i="13"/>
  <c r="H338" i="13"/>
  <c r="K121" i="13"/>
  <c r="J121" i="13"/>
  <c r="I121" i="13"/>
  <c r="H121" i="13"/>
  <c r="G121" i="13"/>
  <c r="F121" i="13"/>
  <c r="E121" i="13"/>
  <c r="D121" i="13"/>
  <c r="C121" i="13"/>
  <c r="B121" i="13"/>
  <c r="A121" i="13"/>
  <c r="C187" i="13"/>
  <c r="B187" i="13"/>
  <c r="A187" i="13"/>
  <c r="K187" i="13"/>
  <c r="J187" i="13"/>
  <c r="I187" i="13"/>
  <c r="H187" i="13"/>
  <c r="G187" i="13"/>
  <c r="F187" i="13"/>
  <c r="E187" i="13"/>
  <c r="D187" i="13"/>
  <c r="K355" i="13"/>
  <c r="J355" i="13"/>
  <c r="I355" i="13"/>
  <c r="H355" i="13"/>
  <c r="G355" i="13"/>
  <c r="F355" i="13"/>
  <c r="E355" i="13"/>
  <c r="D355" i="13"/>
  <c r="C355" i="13"/>
  <c r="B355" i="13"/>
  <c r="A355" i="13"/>
  <c r="AA30" i="12"/>
  <c r="K22" i="13"/>
  <c r="J22" i="13"/>
  <c r="I22" i="13"/>
  <c r="F22" i="13"/>
  <c r="H22" i="13"/>
  <c r="G22" i="13"/>
  <c r="E22" i="13"/>
  <c r="D22" i="13"/>
  <c r="C22" i="13"/>
  <c r="B22" i="13"/>
  <c r="A22" i="13"/>
  <c r="G164" i="13"/>
  <c r="F164" i="13"/>
  <c r="E164" i="13"/>
  <c r="D164" i="13"/>
  <c r="C164" i="13"/>
  <c r="B164" i="13"/>
  <c r="A164" i="13"/>
  <c r="K164" i="13"/>
  <c r="J164" i="13"/>
  <c r="I164" i="13"/>
  <c r="H164" i="13"/>
  <c r="C301" i="13"/>
  <c r="B301" i="13"/>
  <c r="A301" i="13"/>
  <c r="G301" i="13"/>
  <c r="F301" i="13"/>
  <c r="E301" i="13"/>
  <c r="D301" i="13"/>
  <c r="K301" i="13"/>
  <c r="J301" i="13"/>
  <c r="I301" i="13"/>
  <c r="H301" i="13"/>
  <c r="K173" i="13"/>
  <c r="J173" i="13"/>
  <c r="I173" i="13"/>
  <c r="H173" i="13"/>
  <c r="G173" i="13"/>
  <c r="F173" i="13"/>
  <c r="E173" i="13"/>
  <c r="C173" i="13"/>
  <c r="B173" i="13"/>
  <c r="A173" i="13"/>
  <c r="D173" i="13"/>
  <c r="F266" i="13"/>
  <c r="E266" i="13"/>
  <c r="D266" i="13"/>
  <c r="C266" i="13"/>
  <c r="B266" i="13"/>
  <c r="A266" i="13"/>
  <c r="K266" i="13"/>
  <c r="J266" i="13"/>
  <c r="I266" i="13"/>
  <c r="H266" i="13"/>
  <c r="G266" i="13"/>
  <c r="J227" i="13"/>
  <c r="I227" i="13"/>
  <c r="G227" i="13"/>
  <c r="F227" i="13"/>
  <c r="B227" i="13"/>
  <c r="K227" i="13"/>
  <c r="H227" i="13"/>
  <c r="E227" i="13"/>
  <c r="D227" i="13"/>
  <c r="C227" i="13"/>
  <c r="A227" i="13"/>
  <c r="K299" i="13"/>
  <c r="J299" i="13"/>
  <c r="I299" i="13"/>
  <c r="H299" i="13"/>
  <c r="G299" i="13"/>
  <c r="F299" i="13"/>
  <c r="E299" i="13"/>
  <c r="D299" i="13"/>
  <c r="C299" i="13"/>
  <c r="B299" i="13"/>
  <c r="A299" i="13"/>
  <c r="K407" i="13"/>
  <c r="H407" i="13"/>
  <c r="F407" i="13"/>
  <c r="E407" i="13"/>
  <c r="J407" i="13"/>
  <c r="I407" i="13"/>
  <c r="G407" i="13"/>
  <c r="D407" i="13"/>
  <c r="C407" i="13"/>
  <c r="B407" i="13"/>
  <c r="A407" i="13"/>
  <c r="K14" i="13"/>
  <c r="J14" i="13"/>
  <c r="I14" i="13"/>
  <c r="F14" i="13"/>
  <c r="D14" i="13"/>
  <c r="C14" i="13"/>
  <c r="B14" i="13"/>
  <c r="A14" i="13"/>
  <c r="H14" i="13"/>
  <c r="G14" i="13"/>
  <c r="E14" i="13"/>
  <c r="C24" i="13"/>
  <c r="B24" i="13"/>
  <c r="A24" i="13"/>
  <c r="K24" i="13"/>
  <c r="J24" i="13"/>
  <c r="I24" i="13"/>
  <c r="H24" i="13"/>
  <c r="G24" i="13"/>
  <c r="F24" i="13"/>
  <c r="E24" i="13"/>
  <c r="D24" i="13"/>
  <c r="K256" i="13"/>
  <c r="J256" i="13"/>
  <c r="I256" i="13"/>
  <c r="G256" i="13"/>
  <c r="F256" i="13"/>
  <c r="E256" i="13"/>
  <c r="C256" i="13"/>
  <c r="B256" i="13"/>
  <c r="H256" i="13"/>
  <c r="D256" i="13"/>
  <c r="A256" i="13"/>
  <c r="F373" i="13"/>
  <c r="C373" i="13"/>
  <c r="K373" i="13"/>
  <c r="J373" i="13"/>
  <c r="I373" i="13"/>
  <c r="H373" i="13"/>
  <c r="G373" i="13"/>
  <c r="E373" i="13"/>
  <c r="D373" i="13"/>
  <c r="B373" i="13"/>
  <c r="A373" i="13"/>
  <c r="K177" i="13"/>
  <c r="J177" i="13"/>
  <c r="I177" i="13"/>
  <c r="H177" i="13"/>
  <c r="G177" i="13"/>
  <c r="F177" i="13"/>
  <c r="E177" i="13"/>
  <c r="C177" i="13"/>
  <c r="B177" i="13"/>
  <c r="A177" i="13"/>
  <c r="D177" i="13"/>
  <c r="K336" i="13"/>
  <c r="J336" i="13"/>
  <c r="I336" i="13"/>
  <c r="G336" i="13"/>
  <c r="F336" i="13"/>
  <c r="E336" i="13"/>
  <c r="H336" i="13"/>
  <c r="D336" i="13"/>
  <c r="C336" i="13"/>
  <c r="B336" i="13"/>
  <c r="A336" i="13"/>
  <c r="K102" i="13"/>
  <c r="J102" i="13"/>
  <c r="I102" i="13"/>
  <c r="H102" i="13"/>
  <c r="G102" i="13"/>
  <c r="F102" i="13"/>
  <c r="E102" i="13"/>
  <c r="D102" i="13"/>
  <c r="C102" i="13"/>
  <c r="B102" i="13"/>
  <c r="A102" i="13"/>
  <c r="B392" i="13"/>
  <c r="J392" i="13"/>
  <c r="I392" i="13"/>
  <c r="A392" i="13"/>
  <c r="K392" i="13"/>
  <c r="H392" i="13"/>
  <c r="G392" i="13"/>
  <c r="F392" i="13"/>
  <c r="E392" i="13"/>
  <c r="D392" i="13"/>
  <c r="C392" i="13"/>
  <c r="K129" i="13"/>
  <c r="J129" i="13"/>
  <c r="I129" i="13"/>
  <c r="A129" i="13"/>
  <c r="H129" i="13"/>
  <c r="G129" i="13"/>
  <c r="F129" i="13"/>
  <c r="E129" i="13"/>
  <c r="D129" i="13"/>
  <c r="C129" i="13"/>
  <c r="B129" i="13"/>
  <c r="C34" i="3" l="1"/>
  <c r="E47" i="3"/>
  <c r="B41" i="3"/>
  <c r="C41" i="3"/>
  <c r="B37" i="12"/>
  <c r="C20" i="3"/>
  <c r="D37" i="12"/>
  <c r="D20" i="3"/>
  <c r="F37" i="12"/>
  <c r="F20" i="3"/>
  <c r="B25" i="12"/>
  <c r="B20" i="3"/>
  <c r="A38" i="12"/>
  <c r="A34" i="3"/>
  <c r="E38" i="12"/>
  <c r="F38" i="12"/>
  <c r="C38" i="12"/>
  <c r="E37" i="12"/>
  <c r="D38" i="12"/>
  <c r="D46" i="3"/>
  <c r="B39" i="3"/>
  <c r="D39" i="3"/>
  <c r="F47" i="3"/>
  <c r="F34" i="3"/>
  <c r="A41" i="3"/>
  <c r="D34" i="3"/>
  <c r="E41" i="3"/>
  <c r="A23" i="3"/>
  <c r="B23" i="3"/>
  <c r="B46" i="3"/>
  <c r="C46" i="3"/>
  <c r="E46" i="3"/>
  <c r="F46" i="3"/>
  <c r="C23" i="3"/>
  <c r="A24" i="12"/>
  <c r="D23" i="3"/>
  <c r="B24" i="12"/>
  <c r="C22" i="3"/>
  <c r="A39" i="3"/>
  <c r="E23" i="3"/>
  <c r="C24" i="12"/>
  <c r="C39" i="3"/>
  <c r="E19" i="3"/>
  <c r="D19" i="3"/>
  <c r="E39" i="3"/>
  <c r="A19" i="3"/>
  <c r="D47" i="3"/>
  <c r="B19" i="3"/>
  <c r="A47" i="3"/>
  <c r="F19" i="3"/>
  <c r="C47" i="3"/>
  <c r="B36" i="12"/>
  <c r="A36" i="12"/>
  <c r="F36" i="12"/>
  <c r="E36" i="12"/>
  <c r="D36" i="12"/>
  <c r="C36" i="12"/>
  <c r="A27" i="3"/>
  <c r="C27" i="3"/>
  <c r="F27" i="3"/>
  <c r="B27" i="3"/>
  <c r="E27" i="3"/>
  <c r="D27" i="3"/>
  <c r="F30" i="12"/>
  <c r="E30" i="12"/>
  <c r="D30" i="12"/>
  <c r="C30" i="12"/>
  <c r="B30" i="12"/>
  <c r="A30" i="12"/>
  <c r="B32" i="3"/>
  <c r="E32" i="3"/>
  <c r="A32" i="3"/>
  <c r="F32" i="3"/>
  <c r="D32" i="3"/>
  <c r="C32" i="3"/>
  <c r="A40" i="3"/>
  <c r="B40" i="3"/>
  <c r="F40" i="3"/>
  <c r="E40" i="3"/>
  <c r="D40" i="3"/>
  <c r="C40" i="3"/>
  <c r="F44" i="12"/>
  <c r="E44" i="12"/>
  <c r="D44" i="12"/>
  <c r="C44" i="12"/>
  <c r="B44" i="12"/>
  <c r="A44" i="12"/>
  <c r="F32" i="12"/>
  <c r="E32" i="12"/>
  <c r="D32" i="12"/>
  <c r="C32" i="12"/>
  <c r="B32" i="12"/>
  <c r="A32" i="12"/>
  <c r="A31" i="12"/>
  <c r="F31" i="12"/>
  <c r="E31" i="12"/>
  <c r="D31" i="12"/>
  <c r="C31" i="12"/>
  <c r="B31" i="12"/>
  <c r="F43" i="12"/>
  <c r="E43" i="12"/>
  <c r="D43" i="12"/>
  <c r="C43" i="12"/>
  <c r="B43" i="12"/>
  <c r="A43" i="12"/>
  <c r="D21" i="3"/>
  <c r="E21" i="3"/>
  <c r="C21" i="3"/>
  <c r="B21" i="3"/>
  <c r="A21" i="3"/>
  <c r="F21" i="3"/>
  <c r="A38" i="3"/>
  <c r="C38" i="3"/>
  <c r="B38" i="3"/>
  <c r="D38" i="3"/>
  <c r="F38" i="3"/>
  <c r="E38" i="3"/>
  <c r="E49" i="3"/>
  <c r="D49" i="3"/>
  <c r="C49" i="3"/>
  <c r="F49" i="3"/>
  <c r="B49" i="3"/>
  <c r="A49" i="3"/>
  <c r="F26" i="12"/>
  <c r="E26" i="12"/>
  <c r="D26" i="12"/>
  <c r="C26" i="12"/>
  <c r="B26" i="12"/>
  <c r="A26" i="12"/>
  <c r="C48" i="3"/>
  <c r="B48" i="3"/>
  <c r="F48" i="3"/>
  <c r="E48" i="3"/>
  <c r="D48" i="3"/>
  <c r="A48" i="3"/>
  <c r="B33" i="3"/>
  <c r="F33" i="3"/>
  <c r="E33" i="3"/>
  <c r="D33" i="3"/>
  <c r="C33" i="3"/>
  <c r="A33" i="3"/>
  <c r="D42" i="12"/>
  <c r="C42" i="12"/>
  <c r="B42" i="12"/>
  <c r="A42" i="12"/>
  <c r="F42" i="12"/>
  <c r="E42" i="12"/>
</calcChain>
</file>

<file path=xl/sharedStrings.xml><?xml version="1.0" encoding="utf-8"?>
<sst xmlns="http://schemas.openxmlformats.org/spreadsheetml/2006/main" count="1058" uniqueCount="610">
  <si>
    <t>The Delivery Credibility Gap</t>
  </si>
  <si>
    <t>IT Delivery Control Toolkit. Karim Gaber Saleh.</t>
  </si>
  <si>
    <t>Start here</t>
  </si>
  <si>
    <t>Use the registers to prepare the next useful decision. The dashboard keeps condition, trajectory and evidence confidence separate.</t>
  </si>
  <si>
    <t>Weekly workflow: configure settings, update records, review controls, inspect attention items, agree interventions, take steering decisions, then test their effects.</t>
  </si>
  <si>
    <t>Inputs are pale cream. Calculated cells are pale mint. Filter the registers by ID, owner or flag. The first two columns and headers stay visible while you scroll.</t>
  </si>
  <si>
    <t>Control</t>
  </si>
  <si>
    <t>Question</t>
  </si>
  <si>
    <t>Value</t>
  </si>
  <si>
    <t>Is this still worth doing?</t>
  </si>
  <si>
    <t>Flow</t>
  </si>
  <si>
    <t>Can useful work move?</t>
  </si>
  <si>
    <t>Dependencies</t>
  </si>
  <si>
    <t>What prevents independent progress?</t>
  </si>
  <si>
    <t>Decisions</t>
  </si>
  <si>
    <t>Are necessary decisions timely?</t>
  </si>
  <si>
    <t>Assurance</t>
  </si>
  <si>
    <t>What evidence supports the claim?</t>
  </si>
  <si>
    <t>Readiness</t>
  </si>
  <si>
    <t>Can operations safely run this?</t>
  </si>
  <si>
    <t>Adoption</t>
  </si>
  <si>
    <t>Is use contributing to the outcome?</t>
  </si>
  <si>
    <t>Condition: Within tolerance, Watch, Intervention required, Unknown. Trajectory: Improving, Stable, Deteriorating, Unclear. Confidence: High, Medium, Low.</t>
  </si>
  <si>
    <t>Flags are local rule-based attention prompts. They neither predict project success nor accept risk. Do not average the Seven Controls or treat the evidence domains as a score. Mandatory governance still applies.</t>
  </si>
  <si>
    <t>Atlas is fictional. Role labels, dates and supporting extensions illustrate use. DEP-07 is due 25 Sep and is not yet overdue at the 24 Sep review, despite two earlier missed commitments.</t>
  </si>
  <si>
    <t>Navigation</t>
  </si>
  <si>
    <t>01 - PROJECT SETUP</t>
  </si>
  <si>
    <t>02 - CONTROL DASHBOARD</t>
  </si>
  <si>
    <t>03 - HEALTH REVIEW</t>
  </si>
  <si>
    <t>04 - DECISION LOG</t>
  </si>
  <si>
    <t>05 - DEPENDENCIES</t>
  </si>
  <si>
    <t>06 - FLOW</t>
  </si>
  <si>
    <t>07 - EVIDENCE &amp; ASSURANCE</t>
  </si>
  <si>
    <t>08 - READINESS</t>
  </si>
  <si>
    <t>09 - ADOPTION &amp; BENEFITS</t>
  </si>
  <si>
    <t>10 - RECOVERY</t>
  </si>
  <si>
    <t>11 - STEERING PACK</t>
  </si>
  <si>
    <t>12 - NEXT ACTIONS</t>
  </si>
  <si>
    <t>13 - DATA &amp; LISTS</t>
  </si>
  <si>
    <t>14 - REVIEW HISTORY</t>
  </si>
  <si>
    <t>15 - AI DELEGATION</t>
  </si>
  <si>
    <t>Start a clean project</t>
  </si>
  <si>
    <t>Save a new copy. On each register, select the named Clear_ range using the Name Box and press Delete. Clear only contents. Keep IDs H-01 to H-07, control labels and readiness area names.</t>
  </si>
  <si>
    <t>Clear_Steering and Clear_History remove the example meeting and snapshots. Replace Project Setup values and review dates. Blank readiness rows remain unassessed. Re-enter unique IDs to activate records.</t>
  </si>
  <si>
    <t>Capacity: 50 records per working register, seven current controls and 100 history rows. Use the prepared blank rows. Adding rows outside these ranges requires extending formulas, validations, names and the action pool.</t>
  </si>
  <si>
    <t>Before each review, save a value-only dated snapshot on Review History. Update Previous review date and Review date on Project Setup. Formula-based history would change retrospectively.</t>
  </si>
  <si>
    <t>Qualification: retain the entered judgement and record context in Health Review Notes. Automated flags remain visible until the source facts change. Risk acceptance belongs to the authorised decision maker.</t>
  </si>
  <si>
    <t>Print Dashboard or Steering Pack for discussion. Wide source registers are operational records. Print a selected column group at readable scale rather than shrinking the entire register.</t>
  </si>
  <si>
    <t>Sources and field mappings are on Data &amp; Lists. This workbook contains no macros and sends no data externally.</t>
  </si>
  <si>
    <t>Project setup</t>
  </si>
  <si>
    <t>Illustrative Atlas settings. Replace local thresholds and owners before using the workbook on a live project.</t>
  </si>
  <si>
    <t>Setting</t>
  </si>
  <si>
    <t>Definition / local rule</t>
  </si>
  <si>
    <t>Project name</t>
  </si>
  <si>
    <t>Atlas migration</t>
  </si>
  <si>
    <t>Fictional worked example</t>
  </si>
  <si>
    <t>Programme / portfolio</t>
  </si>
  <si>
    <t>Enterprise migration</t>
  </si>
  <si>
    <t>PM</t>
  </si>
  <si>
    <t>Programme manager</t>
  </si>
  <si>
    <t>Role labels are illustrative, not named people</t>
  </si>
  <si>
    <t>Sponsor</t>
  </si>
  <si>
    <t>Business owner</t>
  </si>
  <si>
    <t>Operations director</t>
  </si>
  <si>
    <t>Service owner</t>
  </si>
  <si>
    <t>Review date</t>
  </si>
  <si>
    <t>Fixed as-of date. Update for each review.</t>
  </si>
  <si>
    <t>Review horizon (days)</t>
  </si>
  <si>
    <t>Window for upcoming commitments</t>
  </si>
  <si>
    <t>Next major commitment</t>
  </si>
  <si>
    <t>Illustrative release hold point, subject to evidence</t>
  </si>
  <si>
    <t>Currency</t>
  </si>
  <si>
    <t>EUR</t>
  </si>
  <si>
    <t>Used only for locally entered financial measures</t>
  </si>
  <si>
    <t>Reporting cadence</t>
  </si>
  <si>
    <t>Weekly</t>
  </si>
  <si>
    <t>Current phase</t>
  </si>
  <si>
    <t>Pilot validation</t>
  </si>
  <si>
    <t>Context</t>
  </si>
  <si>
    <t>Smaller wave or defer full release</t>
  </si>
  <si>
    <t>Do not shorten required testing</t>
  </si>
  <si>
    <t>Decision warning days</t>
  </si>
  <si>
    <t>Calendar days since actionable date</t>
  </si>
  <si>
    <t>Decision escalation days</t>
  </si>
  <si>
    <t>Missed commitments threshold</t>
  </si>
  <si>
    <t>Flag when commitments missed reaches this value</t>
  </si>
  <si>
    <t>Blocker age threshold</t>
  </si>
  <si>
    <t>Calendar days waiting while blocked</t>
  </si>
  <si>
    <t>Milestone movement threshold</t>
  </si>
  <si>
    <t>Flag repeated movements at or above this count</t>
  </si>
  <si>
    <t>Evidence freshness days</t>
  </si>
  <si>
    <t>Local maximum age without an explicit expiry</t>
  </si>
  <si>
    <t>Benefits observation days</t>
  </si>
  <si>
    <t>Local observation period reminder</t>
  </si>
  <si>
    <t>Review cadence days</t>
  </si>
  <si>
    <t>Reminder only. Save history manually before updating</t>
  </si>
  <si>
    <t>Upcoming window days</t>
  </si>
  <si>
    <t>Dashboard deadline window</t>
  </si>
  <si>
    <t>Previous review date</t>
  </si>
  <si>
    <t>Must match a saved date in Review History</t>
  </si>
  <si>
    <t>Local settings are practitioner conventions, not industry benchmarks. Calendar-day calculations preserve pauses and deferrals.</t>
  </si>
  <si>
    <t>Control dashboard</t>
  </si>
  <si>
    <t>Review judgement beside the underlying triggers. No overall score. Empty registers mean no assessment, not proven health.</t>
  </si>
  <si>
    <t>Condition</t>
  </si>
  <si>
    <t>Trajectory</t>
  </si>
  <si>
    <t>Confidence</t>
  </si>
  <si>
    <t>Key signal / issue</t>
  </si>
  <si>
    <t>Next action</t>
  </si>
  <si>
    <t>Owner</t>
  </si>
  <si>
    <t>Due date</t>
  </si>
  <si>
    <t>Attention</t>
  </si>
  <si>
    <t>Records needing attention</t>
  </si>
  <si>
    <t>Critical attention. Highest-priority open items. The complete queue is on Next Actions.</t>
  </si>
  <si>
    <t>Source ID</t>
  </si>
  <si>
    <t>Issue</t>
  </si>
  <si>
    <t>Consequence</t>
  </si>
  <si>
    <t>Next consequential decision. Sponsor or steering authority.</t>
  </si>
  <si>
    <t>Decision ID</t>
  </si>
  <si>
    <t>Decision required</t>
  </si>
  <si>
    <t>Deadline</t>
  </si>
  <si>
    <t>Consequence of delay</t>
  </si>
  <si>
    <t>Evidence required</t>
  </si>
  <si>
    <t>Evidence gaps. Review the claim and its permitted scope.</t>
  </si>
  <si>
    <t>Claim / issue</t>
  </si>
  <si>
    <t>Evidence challenge</t>
  </si>
  <si>
    <t>Readiness blockers. Recorded risk acceptance does not automatically clear a blocker.</t>
  </si>
  <si>
    <t>Requirement</t>
  </si>
  <si>
    <t>Trigger</t>
  </si>
  <si>
    <t>Upcoming deadlines within the configured window.</t>
  </si>
  <si>
    <t>Seven Controls health review</t>
  </si>
  <si>
    <t>Three separate judgements. High confidence needs current, relevant, corroborated support. Medium is partial. Low is weak, stale or conflicting.</t>
  </si>
  <si>
    <t>ID</t>
  </si>
  <si>
    <t>Flags</t>
  </si>
  <si>
    <t>Intervention</t>
  </si>
  <si>
    <t>Confidence reason</t>
  </si>
  <si>
    <t>Dated signal</t>
  </si>
  <si>
    <t>Primary issue</t>
  </si>
  <si>
    <t>Evidence reference</t>
  </si>
  <si>
    <t>Notes</t>
  </si>
  <si>
    <t>Priority</t>
  </si>
  <si>
    <t>Suggested action</t>
  </si>
  <si>
    <t>H-01</t>
  </si>
  <si>
    <t>Within tolerance</t>
  </si>
  <si>
    <t>Stable</t>
  </si>
  <si>
    <t>Medium</t>
  </si>
  <si>
    <t>Validate remaining cost</t>
  </si>
  <si>
    <t>Need reconfirmed 22 Sep; remaining cost open</t>
  </si>
  <si>
    <t>Need reconfirmed 22 Sep; remaining cost open (24 Sep 2026)</t>
  </si>
  <si>
    <t>Continuing value not fully evidenced</t>
  </si>
  <si>
    <t>Atlas review 24 Sep</t>
  </si>
  <si>
    <t>H-02</t>
  </si>
  <si>
    <t>Watch</t>
  </si>
  <si>
    <t>Deteriorating</t>
  </si>
  <si>
    <t>High</t>
  </si>
  <si>
    <t>Limit new starts</t>
  </si>
  <si>
    <t>Delivery lead</t>
  </si>
  <si>
    <t>Acceptance queue growing across reviews</t>
  </si>
  <si>
    <t>Acceptance queue growing across reviews (24 Sep 2026)</t>
  </si>
  <si>
    <t>Release or outcome claim remains constrained</t>
  </si>
  <si>
    <t>H-03</t>
  </si>
  <si>
    <t>Intervention required</t>
  </si>
  <si>
    <t>Agree alternative sequence</t>
  </si>
  <si>
    <t>Network owner</t>
  </si>
  <si>
    <t>DEP-07 missed two commitments</t>
  </si>
  <si>
    <t>DEP-07 missed two commitments (24 Sep 2026)</t>
  </si>
  <si>
    <t>DEP-07</t>
  </si>
  <si>
    <t>H-04</t>
  </si>
  <si>
    <t>Select release option</t>
  </si>
  <si>
    <t>D-014 actionable since 6 Sep</t>
  </si>
  <si>
    <t>D-014 actionable since 6 Sep (24 Sep 2026)</t>
  </si>
  <si>
    <t>D-014</t>
  </si>
  <si>
    <t>H-05</t>
  </si>
  <si>
    <t>Unknown</t>
  </si>
  <si>
    <t>Unclear</t>
  </si>
  <si>
    <t>Low</t>
  </si>
  <si>
    <t>Commission representative rehearsal</t>
  </si>
  <si>
    <t>Assurance lead</t>
  </si>
  <si>
    <t>Production-scale recovery not demonstrated</t>
  </si>
  <si>
    <t>Production-scale recovery not demonstrated (24 Sep 2026)</t>
  </si>
  <si>
    <t>CAP-01</t>
  </si>
  <si>
    <t>H-06</t>
  </si>
  <si>
    <t>Rehearse operator access</t>
  </si>
  <si>
    <t>On-call access unverified</t>
  </si>
  <si>
    <t>On-call access unverified (24 Sep 2026)</t>
  </si>
  <si>
    <t>R-04</t>
  </si>
  <si>
    <t>H-07</t>
  </si>
  <si>
    <t>Establish cohort</t>
  </si>
  <si>
    <t>Eligible-user denominator missing</t>
  </si>
  <si>
    <t>Eligible-user denominator missing (24 Sep 2026)</t>
  </si>
  <si>
    <t>Decision latency log</t>
  </si>
  <si>
    <t>Keep the original actionable date through deferrals. Decision, implementation and effect are separate. Dates use calendar days.</t>
  </si>
  <si>
    <t>Status</t>
  </si>
  <si>
    <t>Required by</t>
  </si>
  <si>
    <t>Category</t>
  </si>
  <si>
    <t>First raised date</t>
  </si>
  <si>
    <t>Actionable date</t>
  </si>
  <si>
    <t>Actionable criteria</t>
  </si>
  <si>
    <t>Authority</t>
  </si>
  <si>
    <t>Options</t>
  </si>
  <si>
    <t>Recommendation</t>
  </si>
  <si>
    <t>Escalation trigger</t>
  </si>
  <si>
    <t>Escalation route</t>
  </si>
  <si>
    <t>Pauses / deferrals</t>
  </si>
  <si>
    <t>Deferrals count</t>
  </si>
  <si>
    <t>Next review</t>
  </si>
  <si>
    <t>Decision</t>
  </si>
  <si>
    <t>Rationale</t>
  </si>
  <si>
    <t>Decision date</t>
  </si>
  <si>
    <t>Implementer</t>
  </si>
  <si>
    <t>Communication status</t>
  </si>
  <si>
    <t>Effect check</t>
  </si>
  <si>
    <t>Linked dependency</t>
  </si>
  <si>
    <t>Linked milestone</t>
  </si>
  <si>
    <t>Linked readiness</t>
  </si>
  <si>
    <t>Implementation due</t>
  </si>
  <si>
    <t>Implemented on</t>
  </si>
  <si>
    <t>Open age</t>
  </si>
  <si>
    <t>Closed latency</t>
  </si>
  <si>
    <t>Days until due</t>
  </si>
  <si>
    <t>Days overdue</t>
  </si>
  <si>
    <t>Implementation lag</t>
  </si>
  <si>
    <t>Dependency state</t>
  </si>
  <si>
    <t>Full release or smaller migration wave</t>
  </si>
  <si>
    <t>Open</t>
  </si>
  <si>
    <t>Cutover booking and supplier slot exposed</t>
  </si>
  <si>
    <t>Accepted connectivity and representative recovery evidence</t>
  </si>
  <si>
    <t>Release scope</t>
  </si>
  <si>
    <t>Cost, exposure and two options presented</t>
  </si>
  <si>
    <t>Smaller wave on existing connection, or defer full wave</t>
  </si>
  <si>
    <t>Smaller wave subject to recovery test</t>
  </si>
  <si>
    <t>No substantive choice by 25 Sep noon</t>
  </si>
  <si>
    <t>Programme board chair</t>
  </si>
  <si>
    <t>18 Sep discussion deferred pending sponsor availability. No days excluded.</t>
  </si>
  <si>
    <t>Pending decision</t>
  </si>
  <si>
    <t>Verify revised acceptance path at next review</t>
  </si>
  <si>
    <t>M-01</t>
  </si>
  <si>
    <t>Dependency engineering</t>
  </si>
  <si>
    <t>Eliminate, decouple, contract and control are options. Closure needs consumer-accepted evidence or authorised removal. Provider completion alone is insufficient.</t>
  </si>
  <si>
    <t>Dependency</t>
  </si>
  <si>
    <t>Next evidence</t>
  </si>
  <si>
    <t>Value path / milestone</t>
  </si>
  <si>
    <t>Provider</t>
  </si>
  <si>
    <t>Consumer</t>
  </si>
  <si>
    <t>Shared owner</t>
  </si>
  <si>
    <t>Criticality</t>
  </si>
  <si>
    <t>Forecast date</t>
  </si>
  <si>
    <t>Forecast confidence</t>
  </si>
  <si>
    <t>Commitments missed</t>
  </si>
  <si>
    <t>Eliminate option</t>
  </si>
  <si>
    <t>Decouple option</t>
  </si>
  <si>
    <t>Interface / contract</t>
  </si>
  <si>
    <t>Acceptance evidence</t>
  </si>
  <si>
    <t>Consumer accepted</t>
  </si>
  <si>
    <t>Accepted date</t>
  </si>
  <si>
    <t>Change-notification rule</t>
  </si>
  <si>
    <t>Control signal</t>
  </si>
  <si>
    <t>Escalation rule</t>
  </si>
  <si>
    <t>Fallback</t>
  </si>
  <si>
    <t>Residual coupling</t>
  </si>
  <si>
    <t>Approval required</t>
  </si>
  <si>
    <t>Removal authorised</t>
  </si>
  <si>
    <t>Removal authority</t>
  </si>
  <si>
    <t>Removal evidence</t>
  </si>
  <si>
    <t>Closure basis</t>
  </si>
  <si>
    <t>Cloud pilot network connectivity</t>
  </si>
  <si>
    <t>In progress</t>
  </si>
  <si>
    <t>Pilot production path cannot be accepted</t>
  </si>
  <si>
    <t>Consumer witnesses production-path test</t>
  </si>
  <si>
    <t>Network supplier</t>
  </si>
  <si>
    <t>Migration team</t>
  </si>
  <si>
    <t>Network service owner</t>
  </si>
  <si>
    <t>Critical</t>
  </si>
  <si>
    <t>Production routing required for live pilot</t>
  </si>
  <si>
    <t>Lab route for preliminary tests only</t>
  </si>
  <si>
    <t>Routing specification v3. Throughput, failover and access tests</t>
  </si>
  <si>
    <t>No</t>
  </si>
  <si>
    <t>Notify forecast change immediately</t>
  </si>
  <si>
    <t>Inspect accepted evidence daily</t>
  </si>
  <si>
    <t>Escalate missed commitment</t>
  </si>
  <si>
    <t>Reduce wave or defer</t>
  </si>
  <si>
    <t>Production path still needs acceptance</t>
  </si>
  <si>
    <t>Sponsor approves sequence</t>
  </si>
  <si>
    <t>Flow and feedback</t>
  </si>
  <si>
    <t>Track the waiting between assumption and evidence. Throughput alone is not the objective. Use comparable slices and preserve acceptance quality.</t>
  </si>
  <si>
    <t>Work item / slice</t>
  </si>
  <si>
    <t>Stage</t>
  </si>
  <si>
    <t>Start date</t>
  </si>
  <si>
    <t>Waiting start</t>
  </si>
  <si>
    <t>Acceptance date</t>
  </si>
  <si>
    <t>Blocked</t>
  </si>
  <si>
    <t>Blocker reason</t>
  </si>
  <si>
    <t>Rework count</t>
  </si>
  <si>
    <t>Handoff count</t>
  </si>
  <si>
    <t>Acceptance owner</t>
  </si>
  <si>
    <t>Milestone movements</t>
  </si>
  <si>
    <t>Previous blocker age</t>
  </si>
  <si>
    <t>Blocker age</t>
  </si>
  <si>
    <t>Waiting days</t>
  </si>
  <si>
    <t>WIP</t>
  </si>
  <si>
    <t>Acceptance queue</t>
  </si>
  <si>
    <t>Blocker trend</t>
  </si>
  <si>
    <t>F-01</t>
  </si>
  <si>
    <t>Production-path acceptance</t>
  </si>
  <si>
    <t>Release evidence remains unavailable</t>
  </si>
  <si>
    <t>Witnessed routing and failover tests</t>
  </si>
  <si>
    <t>Yes</t>
  </si>
  <si>
    <t>DEP-07 connectivity acceptance</t>
  </si>
  <si>
    <t>Migration lead</t>
  </si>
  <si>
    <t>Evidence and assurance</t>
  </si>
  <si>
    <t>Six distinct claim domains, not a maturity score. Adoption does not prove safety. Every positive claim needs its own conditions and evidence.</t>
  </si>
  <si>
    <t>Capability / version</t>
  </si>
  <si>
    <t>Decision supported</t>
  </si>
  <si>
    <t>Activity claim</t>
  </si>
  <si>
    <t>Output claim</t>
  </si>
  <si>
    <t>Verified capability claim</t>
  </si>
  <si>
    <t>Readiness claim</t>
  </si>
  <si>
    <t>Adoption claim</t>
  </si>
  <si>
    <t>Realised-value claim</t>
  </si>
  <si>
    <t>Test conditions</t>
  </si>
  <si>
    <t>Acceptance criteria</t>
  </si>
  <si>
    <t>Result</t>
  </si>
  <si>
    <t>Reviewer</t>
  </si>
  <si>
    <t>Evidence location</t>
  </si>
  <si>
    <t>Evidence date</t>
  </si>
  <si>
    <t>Expiry date</t>
  </si>
  <si>
    <t>Assumptions</t>
  </si>
  <si>
    <t>Exceptions</t>
  </si>
  <si>
    <t>Invalidation trigger</t>
  </si>
  <si>
    <t>Required for commitment</t>
  </si>
  <si>
    <t>Readiness basis</t>
  </si>
  <si>
    <t>Benefit baseline</t>
  </si>
  <si>
    <t>Attribution caveat</t>
  </si>
  <si>
    <t>Readiness asserted</t>
  </si>
  <si>
    <t>Benefit asserted</t>
  </si>
  <si>
    <t>Fresh until</t>
  </si>
  <si>
    <t>Atlas pilot recovery / release candidate 3</t>
  </si>
  <si>
    <t>Release recovery claim unsupported at production scale</t>
  </si>
  <si>
    <t>Production-path rehearsal with receiving operator</t>
  </si>
  <si>
    <t>Lab exercise executed 22 Sep</t>
  </si>
  <si>
    <t>Recovery procedure v3 exists</t>
  </si>
  <si>
    <t>Lab objectives met. Production-scale result unknown</t>
  </si>
  <si>
    <t>Operator access and out-of-hours escalation not demonstrated</t>
  </si>
  <si>
    <t>No normal-duty use claim</t>
  </si>
  <si>
    <t>No measured resilience benefit claimed</t>
  </si>
  <si>
    <t>Lab differs from production volume and interfaces</t>
  </si>
  <si>
    <t>Agreed recovery objectives under representative production conditions</t>
  </si>
  <si>
    <t>Lab only</t>
  </si>
  <si>
    <t>Atlas lab exercise log 22 Sep (illustrative reference)</t>
  </si>
  <si>
    <t>Production data volume remains untested</t>
  </si>
  <si>
    <t>Lab result cannot substitute for production test</t>
  </si>
  <si>
    <t>Interface or data-volume change</t>
  </si>
  <si>
    <t>Technical test only</t>
  </si>
  <si>
    <t>Day-1 readiness</t>
  </si>
  <si>
    <t>A single release blocker remains visible. A named authority alone is not risk acceptance. Record decision evidence and expiry. The workbook never authorises release.</t>
  </si>
  <si>
    <t>Area / requirement</t>
  </si>
  <si>
    <t>Assessment</t>
  </si>
  <si>
    <t>Release consequence</t>
  </si>
  <si>
    <t>Evidence</t>
  </si>
  <si>
    <t>Release blocker</t>
  </si>
  <si>
    <t>Risk authority</t>
  </si>
  <si>
    <t>Exception expiry</t>
  </si>
  <si>
    <t>Risk acceptance record</t>
  </si>
  <si>
    <t>Evidence expiry</t>
  </si>
  <si>
    <t>Linked decision</t>
  </si>
  <si>
    <t>NA reason</t>
  </si>
  <si>
    <t>Active blocker</t>
  </si>
  <si>
    <t>Exception state</t>
  </si>
  <si>
    <t>R-01</t>
  </si>
  <si>
    <t>Service ownership</t>
  </si>
  <si>
    <t>Pass</t>
  </si>
  <si>
    <t>Receiving team needs operational evidence</t>
  </si>
  <si>
    <t>Scope and boundaries accepted</t>
  </si>
  <si>
    <t>Demonstrated</t>
  </si>
  <si>
    <t>R-02</t>
  </si>
  <si>
    <t>Observability</t>
  </si>
  <si>
    <t>Evidence pending</t>
  </si>
  <si>
    <t>R-03</t>
  </si>
  <si>
    <t>Support and service desk</t>
  </si>
  <si>
    <t>Representative ticket routing tested</t>
  </si>
  <si>
    <t>Access and on-call readiness</t>
  </si>
  <si>
    <t>Gap</t>
  </si>
  <si>
    <t>Access owner</t>
  </si>
  <si>
    <t>Operators cannot demonstrate privileged access</t>
  </si>
  <si>
    <t>R-05</t>
  </si>
  <si>
    <t>Recovery and data integrity</t>
  </si>
  <si>
    <t>Recovery at production scale not demonstrated</t>
  </si>
  <si>
    <t>R-06</t>
  </si>
  <si>
    <t>Security</t>
  </si>
  <si>
    <t>R-07</t>
  </si>
  <si>
    <t>Documentation</t>
  </si>
  <si>
    <t>R-08</t>
  </si>
  <si>
    <t>Supplier support</t>
  </si>
  <si>
    <t>Support hours and escalation confirmed</t>
  </si>
  <si>
    <t>R-09</t>
  </si>
  <si>
    <t>Training</t>
  </si>
  <si>
    <t>R-10</t>
  </si>
  <si>
    <t>Incident response</t>
  </si>
  <si>
    <t>R-11</t>
  </si>
  <si>
    <t>Cutover</t>
  </si>
  <si>
    <t>R-12</t>
  </si>
  <si>
    <t>Rollback</t>
  </si>
  <si>
    <t>Adoption and benefits</t>
  </si>
  <si>
    <t>Usage alone is not benefit. Keep the eligible cohort, outcome baseline, balancing measure and alternative explanations visible.</t>
  </si>
  <si>
    <t>Outcome</t>
  </si>
  <si>
    <t>Capability</t>
  </si>
  <si>
    <t>Required behaviour</t>
  </si>
  <si>
    <t>Cohort</t>
  </si>
  <si>
    <t>Eligible denominator</t>
  </si>
  <si>
    <t>Actual numerator</t>
  </si>
  <si>
    <t>Adoption rate</t>
  </si>
  <si>
    <t>Baseline</t>
  </si>
  <si>
    <t>Target</t>
  </si>
  <si>
    <t>Observation start</t>
  </si>
  <si>
    <t>Observation end</t>
  </si>
  <si>
    <t>Current result</t>
  </si>
  <si>
    <t>Source</t>
  </si>
  <si>
    <t>Balancing measure</t>
  </si>
  <si>
    <t>External influences</t>
  </si>
  <si>
    <t>Attribution limit</t>
  </si>
  <si>
    <t>Benefits handover</t>
  </si>
  <si>
    <t>Baseline date</t>
  </si>
  <si>
    <t>Target date</t>
  </si>
  <si>
    <t>Adoption direction</t>
  </si>
  <si>
    <t>Outcome direction</t>
  </si>
  <si>
    <t>Observation days</t>
  </si>
  <si>
    <t>B-01</t>
  </si>
  <si>
    <t>Reduce manual recovery coordination</t>
  </si>
  <si>
    <t>Outcome claim cannot yet be supported</t>
  </si>
  <si>
    <t>Comparable operator-led exercise with defined eligible cohort</t>
  </si>
  <si>
    <t>Use approved runbook and escalation path</t>
  </si>
  <si>
    <t>Eligible operators and exercises to be defined</t>
  </si>
  <si>
    <t>One lab exercise. Outcome evidence insufficient</t>
  </si>
  <si>
    <t>Atlas lab exercise 22 Sep</t>
  </si>
  <si>
    <t>Recovery accuracy, data integrity and operator effort</t>
  </si>
  <si>
    <t>Exercise difficulty and staffing vary</t>
  </si>
  <si>
    <t>Cannot attribute change solely to platform</t>
  </si>
  <si>
    <t>Run comparable operator-led exercise</t>
  </si>
  <si>
    <t>RESET recovery review</t>
  </si>
  <si>
    <t>Recognise. Establish Reality. Surface Causes. Execute Interventions. Test Recovery. The 72-hour review is an initial focus period, not a recovery guarantee.</t>
  </si>
  <si>
    <t>Recovery trigger</t>
  </si>
  <si>
    <t>RESET stage</t>
  </si>
  <si>
    <t>Exposure</t>
  </si>
  <si>
    <t>Mandate</t>
  </si>
  <si>
    <t>Scope</t>
  </si>
  <si>
    <t>Accepted work</t>
  </si>
  <si>
    <t>Remaining work</t>
  </si>
  <si>
    <t>Suspected cause</t>
  </si>
  <si>
    <t>Alternative explanation</t>
  </si>
  <si>
    <t>Test of explanation</t>
  </si>
  <si>
    <t>Sequence</t>
  </si>
  <si>
    <t>Recovery test</t>
  </si>
  <si>
    <t>Observation date</t>
  </si>
  <si>
    <t>Unknowns</t>
  </si>
  <si>
    <t>Investigation owner</t>
  </si>
  <si>
    <t>Sponsor decision</t>
  </si>
  <si>
    <t>Intervention effect</t>
  </si>
  <si>
    <t>Effect evidence</t>
  </si>
  <si>
    <t>Decision latency change</t>
  </si>
  <si>
    <t>Dependency acceptance change</t>
  </si>
  <si>
    <t>Blocker age change</t>
  </si>
  <si>
    <t>Evidence availability change</t>
  </si>
  <si>
    <t>Readiness change</t>
  </si>
  <si>
    <t>Forecast credibility change</t>
  </si>
  <si>
    <t>Displaced risk</t>
  </si>
  <si>
    <t>REC-01</t>
  </si>
  <si>
    <t>Connectivity and decision deterioration</t>
  </si>
  <si>
    <t>Establish Reality</t>
  </si>
  <si>
    <t>Cutover slot and remaining cost exposure</t>
  </si>
  <si>
    <t>Accepted production path and operator-led rehearsal</t>
  </si>
  <si>
    <t>Initial Atlas review 24-26 Sep</t>
  </si>
  <si>
    <t>Release sequence and evidence gaps</t>
  </si>
  <si>
    <t>Sponsor authorises evidence access and option preparation</t>
  </si>
  <si>
    <t>Pilot build and lab recovery</t>
  </si>
  <si>
    <t>CAP-01 lab log</t>
  </si>
  <si>
    <t>Connectivity, access and representative recovery</t>
  </si>
  <si>
    <t>Shared decision ownership and uncertain sequence</t>
  </si>
  <si>
    <t>Technical routing defect</t>
  </si>
  <si>
    <t>Inspect failure and supplier acceptance records</t>
  </si>
  <si>
    <t>Reduce first wave or defer</t>
  </si>
  <si>
    <t>Smaller wave only if acceptance criteria met</t>
  </si>
  <si>
    <t>Sponsor scope choice, interface acceptance, operator rehearsal</t>
  </si>
  <si>
    <t>Accepted production path and receiving-operator rehearsal</t>
  </si>
  <si>
    <t>Remaining cost range</t>
  </si>
  <si>
    <t>Commercial lead</t>
  </si>
  <si>
    <t>Pending D-014</t>
  </si>
  <si>
    <t>Extra build capacity did not reduce acceptance waiting</t>
  </si>
  <si>
    <t>Illustrative review observation, not recovery proof</t>
  </si>
  <si>
    <t>Baseline 18 days open on 24 Sep</t>
  </si>
  <si>
    <t>DEP-07 still unaccepted</t>
  </si>
  <si>
    <t>F-01 waiting 6 days</t>
  </si>
  <si>
    <t>Production-scale test outstanding</t>
  </si>
  <si>
    <t>R-04 access remains unverified</t>
  </si>
  <si>
    <t>Low after two missed commitments</t>
  </si>
  <si>
    <t>Check revalidation load if wave reduced</t>
  </si>
  <si>
    <t>Steering pack</t>
  </si>
  <si>
    <t>Decision pre-read and meeting record. Keep unresolved evidence and dissent visible. Source registers own the facts.</t>
  </si>
  <si>
    <t>Value movement</t>
  </si>
  <si>
    <t>Previous trajectory</t>
  </si>
  <si>
    <t>Current trajectory</t>
  </si>
  <si>
    <t>Change</t>
  </si>
  <si>
    <t>Decisions requiring sponsor or steering authority</t>
  </si>
  <si>
    <t>Action prompt</t>
  </si>
  <si>
    <t>Critical dependencies</t>
  </si>
  <si>
    <t>Evidence gaps</t>
  </si>
  <si>
    <t>Readiness threats</t>
  </si>
  <si>
    <t>Previous intervention effects</t>
  </si>
  <si>
    <t>Decision record. Transfer an agreed decision and date to the owning Decision Log record.</t>
  </si>
  <si>
    <t>Dissent</t>
  </si>
  <si>
    <t>Conditions</t>
  </si>
  <si>
    <t>Communication</t>
  </si>
  <si>
    <t>Meeting date</t>
  </si>
  <si>
    <t>Next actions</t>
  </si>
  <si>
    <t>Calculated prompts ordered by Critical, Review, Routine, then due date. This is an attention queue, not a project score. Edit the source record, not this view.</t>
  </si>
  <si>
    <t>Source control</t>
  </si>
  <si>
    <t>Recommended next action</t>
  </si>
  <si>
    <t>Data, lists and calculation pool</t>
  </si>
  <si>
    <t>Dropdown lists and the connected action pool. Do not clear formulas. All thresholds are configured on Project Setup.</t>
  </si>
  <si>
    <t>YesNo</t>
  </si>
  <si>
    <t>DecisionStatus</t>
  </si>
  <si>
    <t>WorkStatus</t>
  </si>
  <si>
    <t>ReadyStatus</t>
  </si>
  <si>
    <t>EvidenceBasis</t>
  </si>
  <si>
    <t>Domain</t>
  </si>
  <si>
    <t>RESET</t>
  </si>
  <si>
    <t>Controls</t>
  </si>
  <si>
    <t>Improving</t>
  </si>
  <si>
    <t>Planned</t>
  </si>
  <si>
    <t>Activity</t>
  </si>
  <si>
    <t>Recognise</t>
  </si>
  <si>
    <t>Deferred</t>
  </si>
  <si>
    <t>Steering</t>
  </si>
  <si>
    <t>Operator demonstration</t>
  </si>
  <si>
    <t>Output</t>
  </si>
  <si>
    <t>Flat</t>
  </si>
  <si>
    <t>Normal</t>
  </si>
  <si>
    <t>Decided</t>
  </si>
  <si>
    <t>Closed</t>
  </si>
  <si>
    <t>Mixed evidence</t>
  </si>
  <si>
    <t>Verified capability</t>
  </si>
  <si>
    <t>Worsening</t>
  </si>
  <si>
    <t>Surface Causes</t>
  </si>
  <si>
    <t>Rejected</t>
  </si>
  <si>
    <t>Not applicable</t>
  </si>
  <si>
    <t>Specialist</t>
  </si>
  <si>
    <t>Accepted</t>
  </si>
  <si>
    <t>Not assessed</t>
  </si>
  <si>
    <t>Execute Interventions</t>
  </si>
  <si>
    <t>Superseded</t>
  </si>
  <si>
    <t>Test Recovery</t>
  </si>
  <si>
    <t>Realised value</t>
  </si>
  <si>
    <t>Source / boundary</t>
  </si>
  <si>
    <t>Detail</t>
  </si>
  <si>
    <t>Publication</t>
  </si>
  <si>
    <t>Karim Gaber Saleh. The Delivery Credibility Gap. Revised 24 Sep 2026. Chapters 3-20 and method note.</t>
  </si>
  <si>
    <t>Toolkit</t>
  </si>
  <si>
    <t>PM-Toolkit.pdf. T01-T09, 18 pages. Revised 24 Sep 2026.</t>
  </si>
  <si>
    <t>Preserved rules</t>
  </si>
  <si>
    <t>No composite health score. Evidence domains do not establish one another. Consumer evidence closes a dependency. Original actionable date survives deferrals.</t>
  </si>
  <si>
    <t>Example extension</t>
  </si>
  <si>
    <t>Atlas values taken from the toolkit. R-04, F-01, CAP-01, B-01, M-01, historical snapshots and local thresholds are explicit illustrative extensions.</t>
  </si>
  <si>
    <t>Date reconciliation</t>
  </si>
  <si>
    <t>DEP-07 is due 25 Sep. The workbook does not repeat the toolkit steering example wording overdue at 24 Sep. Missed prior commitments remain two.</t>
  </si>
  <si>
    <t>Capacity and ranking</t>
  </si>
  <si>
    <t>Attention ordering uses priority labels, deadline and source-row tie-break. The numeric sort key is administrative, never a project-health measure.</t>
  </si>
  <si>
    <t>Limitations</t>
  </si>
  <si>
    <t>No model validation or automatic release approval. Verify exception authority and scope. History is a manual value snapshot.</t>
  </si>
  <si>
    <t>Source reference</t>
  </si>
  <si>
    <t>Sort key</t>
  </si>
  <si>
    <t>Critical key</t>
  </si>
  <si>
    <t>Evidence key</t>
  </si>
  <si>
    <t>Readiness key</t>
  </si>
  <si>
    <t>Upcoming key</t>
  </si>
  <si>
    <t>Steering key</t>
  </si>
  <si>
    <t>Dependency key</t>
  </si>
  <si>
    <t>Attention count</t>
  </si>
  <si>
    <t>Review history</t>
  </si>
  <si>
    <t>Before updating Health Review, append a dated value-only snapshot. Never paste formulas here. Matching needs one record per date and control.</t>
  </si>
  <si>
    <t>Observed effect</t>
  </si>
  <si>
    <t>Review evidence</t>
  </si>
  <si>
    <t>Effect not yet established</t>
  </si>
  <si>
    <t>Illustrative historical review extension</t>
  </si>
  <si>
    <t>Add build capacity</t>
  </si>
  <si>
    <t>Acceptance waiting did not improve</t>
  </si>
  <si>
    <t>AI delegation</t>
  </si>
  <si>
    <t>Bound the task, data access and review. No automatic risk acceptance, executive communication or commercial commitment.</t>
  </si>
  <si>
    <t>Use case</t>
  </si>
  <si>
    <t>Permitted work</t>
  </si>
  <si>
    <t>Prohibited action</t>
  </si>
  <si>
    <t>Approved environment</t>
  </si>
  <si>
    <t>Provenance requirement</t>
  </si>
  <si>
    <t>Human reviewer</t>
  </si>
  <si>
    <t>Quality checks</t>
  </si>
  <si>
    <t>Output destination</t>
  </si>
  <si>
    <t>Approval boundary</t>
  </si>
  <si>
    <t>Pilot measure</t>
  </si>
  <si>
    <t>Stop condition</t>
  </si>
  <si>
    <t>AI-01</t>
  </si>
  <si>
    <t>Draft weekly migration status</t>
  </si>
  <si>
    <t>Incorrect evidence could mislead release decision</t>
  </si>
  <si>
    <t>Source version and date for every material statement</t>
  </si>
  <si>
    <t>Summarise approved updates and flag contradictions</t>
  </si>
  <si>
    <t>No sending, record changes, risk acceptance or date commitments</t>
  </si>
  <si>
    <t>Approved project workspace. Redact unnecessary personal data</t>
  </si>
  <si>
    <t>Preserve unknowns and link each claim</t>
  </si>
  <si>
    <t>Verify dates, owners, commitments and qualifications</t>
  </si>
  <si>
    <t>Internal draft</t>
  </si>
  <si>
    <t>Human verifies and sends through normal route</t>
  </si>
  <si>
    <t>Total preparation plus review effort and correction rate</t>
  </si>
  <si>
    <t>Stop on fabricated evidence</t>
  </si>
  <si>
    <t>Manual drafting and incident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</si>
</sst>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0.0%"/>
  </numFmts>
  <fonts count="6">
    <font>
      <sz val="11"/>
      <name val="Carlito"/>
    </font>
    <font>
      <sz val="11"/>
      <color rgb="FF16343C"/>
      <name val="Arial"/>
    </font>
    <font>
      <b/>
      <sz val="17"/>
      <color rgb="FF16343C"/>
      <name val="Arial"/>
    </font>
    <font>
      <sz val="11"/>
      <color rgb="FF087C78"/>
      <name val="Arial"/>
    </font>
    <font>
      <b/>
      <sz val="11"/>
      <color rgb="FFFFFFFF"/>
      <name val="Arial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6343C"/>
      </patternFill>
    </fill>
    <fill>
      <patternFill patternType="solid">
        <fgColor rgb="FFFFF8E7"/>
      </patternFill>
    </fill>
    <fill>
      <patternFill patternType="solid">
        <fgColor rgb="FFEAF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1" fontId="1" fillId="4" borderId="0" xfId="0" applyNumberFormat="1" applyFont="1" applyFill="1" applyAlignment="1">
      <alignment vertical="center" wrapText="1"/>
    </xf>
    <xf numFmtId="164" fontId="1" fillId="4" borderId="0" xfId="0" applyNumberFormat="1" applyFont="1" applyFill="1" applyAlignment="1">
      <alignment vertical="center" wrapText="1"/>
    </xf>
    <xf numFmtId="165" fontId="1" fillId="4" borderId="0" xfId="0" applyNumberFormat="1" applyFont="1" applyFill="1" applyAlignment="1">
      <alignment vertical="center" wrapText="1"/>
    </xf>
    <xf numFmtId="0" fontId="0" fillId="3" borderId="0" xfId="0" applyFill="1" applyAlignment="1">
      <alignment wrapText="1"/>
    </xf>
    <xf numFmtId="164" fontId="0" fillId="3" borderId="0" xfId="0" applyNumberFormat="1" applyFill="1" applyAlignment="1">
      <alignment wrapText="1"/>
    </xf>
    <xf numFmtId="0" fontId="5" fillId="2" borderId="0" xfId="0" applyFont="1" applyFill="1" applyAlignment="1">
      <alignment wrapText="1"/>
    </xf>
    <xf numFmtId="164" fontId="0" fillId="0" borderId="0" xfId="0" applyNumberFormat="1"/>
    <xf numFmtId="0" fontId="0" fillId="4" borderId="0" xfId="0" applyFill="1" applyAlignment="1">
      <alignment wrapText="1"/>
    </xf>
    <xf numFmtId="164" fontId="0" fillId="4" borderId="0" xfId="0" applyNumberFormat="1" applyFill="1" applyAlignment="1">
      <alignment wrapText="1"/>
    </xf>
    <xf numFmtId="1" fontId="1" fillId="4" borderId="0" xfId="0" applyNumberFormat="1" applyFont="1" applyFill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20"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  <dxf>
      <font>
        <b/>
        <color rgb="FFA33F34"/>
      </font>
      <fill>
        <patternFill patternType="solid">
          <bgColor rgb="FFFBEA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3" displayName="T3_" ref="A8:Q58" totalsRowShown="0">
  <tableColumns count="17">
    <tableColumn id="1" xr3:uid="{00000000-0010-0000-0000-000001000000}" name="ID"/>
    <tableColumn id="2" xr3:uid="{00000000-0010-0000-0000-000002000000}" name="Control"/>
    <tableColumn id="3" xr3:uid="{00000000-0010-0000-0000-000003000000}" name="Condition"/>
    <tableColumn id="4" xr3:uid="{00000000-0010-0000-0000-000004000000}" name="Trajectory"/>
    <tableColumn id="5" xr3:uid="{00000000-0010-0000-0000-000005000000}" name="Confidence"/>
    <tableColumn id="6" xr3:uid="{00000000-0010-0000-0000-000006000000}" name="Flags"/>
    <tableColumn id="7" xr3:uid="{00000000-0010-0000-0000-000007000000}" name="Intervention"/>
    <tableColumn id="8" xr3:uid="{00000000-0010-0000-0000-000008000000}" name="Owner"/>
    <tableColumn id="9" xr3:uid="{00000000-0010-0000-0000-000009000000}" name="Due date"/>
    <tableColumn id="10" xr3:uid="{00000000-0010-0000-0000-00000A000000}" name="Confidence reason"/>
    <tableColumn id="11" xr3:uid="{00000000-0010-0000-0000-00000B000000}" name="Dated signal"/>
    <tableColumn id="12" xr3:uid="{00000000-0010-0000-0000-00000C000000}" name="Primary issue"/>
    <tableColumn id="13" xr3:uid="{00000000-0010-0000-0000-00000D000000}" name="Consequence"/>
    <tableColumn id="14" xr3:uid="{00000000-0010-0000-0000-00000E000000}" name="Evidence reference"/>
    <tableColumn id="15" xr3:uid="{00000000-0010-0000-0000-00000F000000}" name="Notes"/>
    <tableColumn id="16" xr3:uid="{00000000-0010-0000-0000-000010000000}" name="Priority"/>
    <tableColumn id="17" xr3:uid="{00000000-0010-0000-0000-000011000000}" name="Suggested actio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4" displayName="T4_" ref="A8:AM58" totalsRowShown="0">
  <tableColumns count="39">
    <tableColumn id="1" xr3:uid="{00000000-0010-0000-0100-000001000000}" name="ID"/>
    <tableColumn id="2" xr3:uid="{00000000-0010-0000-0100-000002000000}" name="Decision required"/>
    <tableColumn id="3" xr3:uid="{00000000-0010-0000-0100-000003000000}" name="Status"/>
    <tableColumn id="4" xr3:uid="{00000000-0010-0000-0100-000004000000}" name="Owner"/>
    <tableColumn id="5" xr3:uid="{00000000-0010-0000-0100-000005000000}" name="Required by"/>
    <tableColumn id="6" xr3:uid="{00000000-0010-0000-0100-000006000000}" name="Priority"/>
    <tableColumn id="7" xr3:uid="{00000000-0010-0000-0100-000007000000}" name="Flags"/>
    <tableColumn id="8" xr3:uid="{00000000-0010-0000-0100-000008000000}" name="Suggested action"/>
    <tableColumn id="9" xr3:uid="{00000000-0010-0000-0100-000009000000}" name="Consequence"/>
    <tableColumn id="10" xr3:uid="{00000000-0010-0000-0100-00000A000000}" name="Evidence required"/>
    <tableColumn id="11" xr3:uid="{00000000-0010-0000-0100-00000B000000}" name="Category"/>
    <tableColumn id="12" xr3:uid="{00000000-0010-0000-0100-00000C000000}" name="First raised date"/>
    <tableColumn id="13" xr3:uid="{00000000-0010-0000-0100-00000D000000}" name="Actionable date"/>
    <tableColumn id="14" xr3:uid="{00000000-0010-0000-0100-00000E000000}" name="Actionable criteria"/>
    <tableColumn id="15" xr3:uid="{00000000-0010-0000-0100-00000F000000}" name="Authority"/>
    <tableColumn id="16" xr3:uid="{00000000-0010-0000-0100-000010000000}" name="Options"/>
    <tableColumn id="17" xr3:uid="{00000000-0010-0000-0100-000011000000}" name="Recommendation"/>
    <tableColumn id="18" xr3:uid="{00000000-0010-0000-0100-000012000000}" name="Escalation trigger"/>
    <tableColumn id="19" xr3:uid="{00000000-0010-0000-0100-000013000000}" name="Escalation route"/>
    <tableColumn id="20" xr3:uid="{00000000-0010-0000-0100-000014000000}" name="Pauses / deferrals"/>
    <tableColumn id="21" xr3:uid="{00000000-0010-0000-0100-000015000000}" name="Deferrals count"/>
    <tableColumn id="22" xr3:uid="{00000000-0010-0000-0100-000016000000}" name="Next review"/>
    <tableColumn id="23" xr3:uid="{00000000-0010-0000-0100-000017000000}" name="Decision"/>
    <tableColumn id="24" xr3:uid="{00000000-0010-0000-0100-000018000000}" name="Rationale"/>
    <tableColumn id="25" xr3:uid="{00000000-0010-0000-0100-000019000000}" name="Decision date"/>
    <tableColumn id="26" xr3:uid="{00000000-0010-0000-0100-00001A000000}" name="Implementer"/>
    <tableColumn id="27" xr3:uid="{00000000-0010-0000-0100-00001B000000}" name="Communication status"/>
    <tableColumn id="28" xr3:uid="{00000000-0010-0000-0100-00001C000000}" name="Effect check"/>
    <tableColumn id="29" xr3:uid="{00000000-0010-0000-0100-00001D000000}" name="Linked dependency"/>
    <tableColumn id="30" xr3:uid="{00000000-0010-0000-0100-00001E000000}" name="Linked milestone"/>
    <tableColumn id="31" xr3:uid="{00000000-0010-0000-0100-00001F000000}" name="Linked readiness"/>
    <tableColumn id="32" xr3:uid="{00000000-0010-0000-0100-000020000000}" name="Implementation due"/>
    <tableColumn id="33" xr3:uid="{00000000-0010-0000-0100-000021000000}" name="Implemented on"/>
    <tableColumn id="34" xr3:uid="{00000000-0010-0000-0100-000022000000}" name="Open age"/>
    <tableColumn id="35" xr3:uid="{00000000-0010-0000-0100-000023000000}" name="Closed latency"/>
    <tableColumn id="36" xr3:uid="{00000000-0010-0000-0100-000024000000}" name="Days until due"/>
    <tableColumn id="37" xr3:uid="{00000000-0010-0000-0100-000025000000}" name="Days overdue"/>
    <tableColumn id="38" xr3:uid="{00000000-0010-0000-0100-000026000000}" name="Implementation lag"/>
    <tableColumn id="39" xr3:uid="{00000000-0010-0000-0100-000027000000}" name="Dependency stat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5" displayName="T5_" ref="A8:AK58" totalsRowShown="0">
  <tableColumns count="37">
    <tableColumn id="1" xr3:uid="{00000000-0010-0000-0200-000001000000}" name="ID"/>
    <tableColumn id="2" xr3:uid="{00000000-0010-0000-0200-000002000000}" name="Dependency"/>
    <tableColumn id="3" xr3:uid="{00000000-0010-0000-0200-000003000000}" name="Status"/>
    <tableColumn id="4" xr3:uid="{00000000-0010-0000-0200-000004000000}" name="Owner"/>
    <tableColumn id="5" xr3:uid="{00000000-0010-0000-0200-000005000000}" name="Required by"/>
    <tableColumn id="6" xr3:uid="{00000000-0010-0000-0200-000006000000}" name="Priority"/>
    <tableColumn id="7" xr3:uid="{00000000-0010-0000-0200-000007000000}" name="Flags"/>
    <tableColumn id="8" xr3:uid="{00000000-0010-0000-0200-000008000000}" name="Suggested action"/>
    <tableColumn id="9" xr3:uid="{00000000-0010-0000-0200-000009000000}" name="Consequence"/>
    <tableColumn id="10" xr3:uid="{00000000-0010-0000-0200-00000A000000}" name="Next evidence"/>
    <tableColumn id="11" xr3:uid="{00000000-0010-0000-0200-00000B000000}" name="Value path / milestone"/>
    <tableColumn id="12" xr3:uid="{00000000-0010-0000-0200-00000C000000}" name="Provider"/>
    <tableColumn id="13" xr3:uid="{00000000-0010-0000-0200-00000D000000}" name="Consumer"/>
    <tableColumn id="14" xr3:uid="{00000000-0010-0000-0200-00000E000000}" name="Shared owner"/>
    <tableColumn id="15" xr3:uid="{00000000-0010-0000-0200-00000F000000}" name="Criticality"/>
    <tableColumn id="16" xr3:uid="{00000000-0010-0000-0200-000010000000}" name="Forecast date"/>
    <tableColumn id="17" xr3:uid="{00000000-0010-0000-0200-000011000000}" name="Forecast confidence"/>
    <tableColumn id="18" xr3:uid="{00000000-0010-0000-0200-000012000000}" name="Commitments missed"/>
    <tableColumn id="19" xr3:uid="{00000000-0010-0000-0200-000013000000}" name="Eliminate option"/>
    <tableColumn id="20" xr3:uid="{00000000-0010-0000-0200-000014000000}" name="Decouple option"/>
    <tableColumn id="21" xr3:uid="{00000000-0010-0000-0200-000015000000}" name="Interface / contract"/>
    <tableColumn id="22" xr3:uid="{00000000-0010-0000-0200-000016000000}" name="Acceptance evidence"/>
    <tableColumn id="23" xr3:uid="{00000000-0010-0000-0200-000017000000}" name="Consumer accepted"/>
    <tableColumn id="24" xr3:uid="{00000000-0010-0000-0200-000018000000}" name="Accepted date"/>
    <tableColumn id="25" xr3:uid="{00000000-0010-0000-0200-000019000000}" name="Change-notification rule"/>
    <tableColumn id="26" xr3:uid="{00000000-0010-0000-0200-00001A000000}" name="Control signal"/>
    <tableColumn id="27" xr3:uid="{00000000-0010-0000-0200-00001B000000}" name="Escalation rule"/>
    <tableColumn id="28" xr3:uid="{00000000-0010-0000-0200-00001C000000}" name="Fallback"/>
    <tableColumn id="29" xr3:uid="{00000000-0010-0000-0200-00001D000000}" name="Residual coupling"/>
    <tableColumn id="30" xr3:uid="{00000000-0010-0000-0200-00001E000000}" name="Approval required"/>
    <tableColumn id="31" xr3:uid="{00000000-0010-0000-0200-00001F000000}" name="Due date"/>
    <tableColumn id="32" xr3:uid="{00000000-0010-0000-0200-000020000000}" name="Removal authorised"/>
    <tableColumn id="33" xr3:uid="{00000000-0010-0000-0200-000021000000}" name="Removal authority"/>
    <tableColumn id="34" xr3:uid="{00000000-0010-0000-0200-000022000000}" name="Removal evidence"/>
    <tableColumn id="35" xr3:uid="{00000000-0010-0000-0200-000023000000}" name="Closure basis"/>
    <tableColumn id="36" xr3:uid="{00000000-0010-0000-0200-000024000000}" name="Days until due"/>
    <tableColumn id="37" xr3:uid="{00000000-0010-0000-0200-000025000000}" name="Days overdu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6" displayName="T6_" ref="A8:Z58" totalsRowShown="0">
  <tableColumns count="26">
    <tableColumn id="1" xr3:uid="{00000000-0010-0000-0300-000001000000}" name="ID"/>
    <tableColumn id="2" xr3:uid="{00000000-0010-0000-0300-000002000000}" name="Work item / slice"/>
    <tableColumn id="3" xr3:uid="{00000000-0010-0000-0300-000003000000}" name="Stage"/>
    <tableColumn id="4" xr3:uid="{00000000-0010-0000-0300-000004000000}" name="Owner"/>
    <tableColumn id="5" xr3:uid="{00000000-0010-0000-0300-000005000000}" name="Due date"/>
    <tableColumn id="6" xr3:uid="{00000000-0010-0000-0300-000006000000}" name="Priority"/>
    <tableColumn id="7" xr3:uid="{00000000-0010-0000-0300-000007000000}" name="Flags"/>
    <tableColumn id="8" xr3:uid="{00000000-0010-0000-0300-000008000000}" name="Suggested action"/>
    <tableColumn id="9" xr3:uid="{00000000-0010-0000-0300-000009000000}" name="Consequence"/>
    <tableColumn id="10" xr3:uid="{00000000-0010-0000-0300-00000A000000}" name="Next evidence"/>
    <tableColumn id="11" xr3:uid="{00000000-0010-0000-0300-00000B000000}" name="Start date"/>
    <tableColumn id="12" xr3:uid="{00000000-0010-0000-0300-00000C000000}" name="Waiting start"/>
    <tableColumn id="13" xr3:uid="{00000000-0010-0000-0300-00000D000000}" name="Acceptance date"/>
    <tableColumn id="14" xr3:uid="{00000000-0010-0000-0300-00000E000000}" name="Blocked"/>
    <tableColumn id="15" xr3:uid="{00000000-0010-0000-0300-00000F000000}" name="Blocker reason"/>
    <tableColumn id="16" xr3:uid="{00000000-0010-0000-0300-000010000000}" name="Rework count"/>
    <tableColumn id="17" xr3:uid="{00000000-0010-0000-0300-000011000000}" name="Handoff count"/>
    <tableColumn id="18" xr3:uid="{00000000-0010-0000-0300-000012000000}" name="Acceptance owner"/>
    <tableColumn id="19" xr3:uid="{00000000-0010-0000-0300-000013000000}" name="Linked milestone"/>
    <tableColumn id="20" xr3:uid="{00000000-0010-0000-0300-000014000000}" name="Milestone movements"/>
    <tableColumn id="21" xr3:uid="{00000000-0010-0000-0300-000015000000}" name="Previous blocker age"/>
    <tableColumn id="22" xr3:uid="{00000000-0010-0000-0300-000016000000}" name="Blocker age"/>
    <tableColumn id="23" xr3:uid="{00000000-0010-0000-0300-000017000000}" name="Waiting days"/>
    <tableColumn id="24" xr3:uid="{00000000-0010-0000-0300-000018000000}" name="WIP"/>
    <tableColumn id="25" xr3:uid="{00000000-0010-0000-0300-000019000000}" name="Acceptance queue"/>
    <tableColumn id="26" xr3:uid="{00000000-0010-0000-0300-00001A000000}" name="Blocker trend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7" displayName="T7_" ref="A8:AH58" totalsRowShown="0">
  <tableColumns count="34">
    <tableColumn id="1" xr3:uid="{00000000-0010-0000-0400-000001000000}" name="ID"/>
    <tableColumn id="2" xr3:uid="{00000000-0010-0000-0400-000002000000}" name="Capability / version"/>
    <tableColumn id="3" xr3:uid="{00000000-0010-0000-0400-000003000000}" name="Status"/>
    <tableColumn id="4" xr3:uid="{00000000-0010-0000-0400-000004000000}" name="Owner"/>
    <tableColumn id="5" xr3:uid="{00000000-0010-0000-0400-000005000000}" name="Due date"/>
    <tableColumn id="6" xr3:uid="{00000000-0010-0000-0400-000006000000}" name="Priority"/>
    <tableColumn id="7" xr3:uid="{00000000-0010-0000-0400-000007000000}" name="Flags"/>
    <tableColumn id="8" xr3:uid="{00000000-0010-0000-0400-000008000000}" name="Suggested action"/>
    <tableColumn id="9" xr3:uid="{00000000-0010-0000-0400-000009000000}" name="Consequence"/>
    <tableColumn id="10" xr3:uid="{00000000-0010-0000-0400-00000A000000}" name="Next evidence"/>
    <tableColumn id="11" xr3:uid="{00000000-0010-0000-0400-00000B000000}" name="Decision supported"/>
    <tableColumn id="12" xr3:uid="{00000000-0010-0000-0400-00000C000000}" name="Activity claim"/>
    <tableColumn id="13" xr3:uid="{00000000-0010-0000-0400-00000D000000}" name="Output claim"/>
    <tableColumn id="14" xr3:uid="{00000000-0010-0000-0400-00000E000000}" name="Verified capability claim"/>
    <tableColumn id="15" xr3:uid="{00000000-0010-0000-0400-00000F000000}" name="Readiness claim"/>
    <tableColumn id="16" xr3:uid="{00000000-0010-0000-0400-000010000000}" name="Adoption claim"/>
    <tableColumn id="17" xr3:uid="{00000000-0010-0000-0400-000011000000}" name="Realised-value claim"/>
    <tableColumn id="18" xr3:uid="{00000000-0010-0000-0400-000012000000}" name="Test conditions"/>
    <tableColumn id="19" xr3:uid="{00000000-0010-0000-0400-000013000000}" name="Acceptance criteria"/>
    <tableColumn id="20" xr3:uid="{00000000-0010-0000-0400-000014000000}" name="Result"/>
    <tableColumn id="21" xr3:uid="{00000000-0010-0000-0400-000015000000}" name="Reviewer"/>
    <tableColumn id="22" xr3:uid="{00000000-0010-0000-0400-000016000000}" name="Evidence location"/>
    <tableColumn id="23" xr3:uid="{00000000-0010-0000-0400-000017000000}" name="Evidence date"/>
    <tableColumn id="24" xr3:uid="{00000000-0010-0000-0400-000018000000}" name="Expiry date"/>
    <tableColumn id="25" xr3:uid="{00000000-0010-0000-0400-000019000000}" name="Assumptions"/>
    <tableColumn id="26" xr3:uid="{00000000-0010-0000-0400-00001A000000}" name="Exceptions"/>
    <tableColumn id="27" xr3:uid="{00000000-0010-0000-0400-00001B000000}" name="Invalidation trigger"/>
    <tableColumn id="28" xr3:uid="{00000000-0010-0000-0400-00001C000000}" name="Required for commitment"/>
    <tableColumn id="29" xr3:uid="{00000000-0010-0000-0400-00001D000000}" name="Readiness basis"/>
    <tableColumn id="30" xr3:uid="{00000000-0010-0000-0400-00001E000000}" name="Benefit baseline"/>
    <tableColumn id="31" xr3:uid="{00000000-0010-0000-0400-00001F000000}" name="Attribution caveat"/>
    <tableColumn id="32" xr3:uid="{00000000-0010-0000-0400-000020000000}" name="Readiness asserted"/>
    <tableColumn id="33" xr3:uid="{00000000-0010-0000-0400-000021000000}" name="Benefit asserted"/>
    <tableColumn id="34" xr3:uid="{00000000-0010-0000-0400-000022000000}" name="Fresh unti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8" displayName="T8_" ref="A8:X58" totalsRowShown="0">
  <tableColumns count="24">
    <tableColumn id="1" xr3:uid="{00000000-0010-0000-0500-000001000000}" name="ID"/>
    <tableColumn id="2" xr3:uid="{00000000-0010-0000-0500-000002000000}" name="Area / requirement"/>
    <tableColumn id="3" xr3:uid="{00000000-0010-0000-0500-000003000000}" name="Assessment"/>
    <tableColumn id="4" xr3:uid="{00000000-0010-0000-0500-000004000000}" name="Owner"/>
    <tableColumn id="5" xr3:uid="{00000000-0010-0000-0500-000005000000}" name="Due date"/>
    <tableColumn id="6" xr3:uid="{00000000-0010-0000-0500-000006000000}" name="Priority"/>
    <tableColumn id="7" xr3:uid="{00000000-0010-0000-0500-000007000000}" name="Flags"/>
    <tableColumn id="8" xr3:uid="{00000000-0010-0000-0500-000008000000}" name="Suggested action"/>
    <tableColumn id="9" xr3:uid="{00000000-0010-0000-0500-000009000000}" name="Release consequence"/>
    <tableColumn id="10" xr3:uid="{00000000-0010-0000-0500-00000A000000}" name="Evidence"/>
    <tableColumn id="11" xr3:uid="{00000000-0010-0000-0500-00000B000000}" name="Result"/>
    <tableColumn id="12" xr3:uid="{00000000-0010-0000-0500-00000C000000}" name="Criticality"/>
    <tableColumn id="13" xr3:uid="{00000000-0010-0000-0500-00000D000000}" name="Release blocker"/>
    <tableColumn id="14" xr3:uid="{00000000-0010-0000-0500-00000E000000}" name="Risk authority"/>
    <tableColumn id="15" xr3:uid="{00000000-0010-0000-0500-00000F000000}" name="Exception expiry"/>
    <tableColumn id="16" xr3:uid="{00000000-0010-0000-0500-000010000000}" name="Risk acceptance record"/>
    <tableColumn id="17" xr3:uid="{00000000-0010-0000-0500-000011000000}" name="Evidence date"/>
    <tableColumn id="18" xr3:uid="{00000000-0010-0000-0500-000012000000}" name="Evidence expiry"/>
    <tableColumn id="19" xr3:uid="{00000000-0010-0000-0500-000013000000}" name="Linked dependency"/>
    <tableColumn id="20" xr3:uid="{00000000-0010-0000-0500-000014000000}" name="Linked decision"/>
    <tableColumn id="21" xr3:uid="{00000000-0010-0000-0500-000015000000}" name="NA reason"/>
    <tableColumn id="22" xr3:uid="{00000000-0010-0000-0500-000016000000}" name="Active blocker"/>
    <tableColumn id="23" xr3:uid="{00000000-0010-0000-0500-000017000000}" name="Exception state"/>
    <tableColumn id="24" xr3:uid="{00000000-0010-0000-0500-000018000000}" name="Dependency state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9" displayName="T9_" ref="A8:AH58" totalsRowShown="0">
  <tableColumns count="34">
    <tableColumn id="1" xr3:uid="{00000000-0010-0000-0600-000001000000}" name="ID"/>
    <tableColumn id="2" xr3:uid="{00000000-0010-0000-0600-000002000000}" name="Outcome"/>
    <tableColumn id="3" xr3:uid="{00000000-0010-0000-0600-000003000000}" name="Status"/>
    <tableColumn id="4" xr3:uid="{00000000-0010-0000-0600-000004000000}" name="Owner"/>
    <tableColumn id="5" xr3:uid="{00000000-0010-0000-0600-000005000000}" name="Due date"/>
    <tableColumn id="6" xr3:uid="{00000000-0010-0000-0600-000006000000}" name="Priority"/>
    <tableColumn id="7" xr3:uid="{00000000-0010-0000-0600-000007000000}" name="Flags"/>
    <tableColumn id="8" xr3:uid="{00000000-0010-0000-0600-000008000000}" name="Suggested action"/>
    <tableColumn id="9" xr3:uid="{00000000-0010-0000-0600-000009000000}" name="Consequence"/>
    <tableColumn id="10" xr3:uid="{00000000-0010-0000-0600-00000A000000}" name="Evidence required"/>
    <tableColumn id="11" xr3:uid="{00000000-0010-0000-0600-00000B000000}" name="Business owner"/>
    <tableColumn id="12" xr3:uid="{00000000-0010-0000-0600-00000C000000}" name="Capability"/>
    <tableColumn id="13" xr3:uid="{00000000-0010-0000-0600-00000D000000}" name="Required behaviour"/>
    <tableColumn id="14" xr3:uid="{00000000-0010-0000-0600-00000E000000}" name="Cohort"/>
    <tableColumn id="15" xr3:uid="{00000000-0010-0000-0600-00000F000000}" name="Eligible denominator"/>
    <tableColumn id="16" xr3:uid="{00000000-0010-0000-0600-000010000000}" name="Actual numerator"/>
    <tableColumn id="17" xr3:uid="{00000000-0010-0000-0600-000011000000}" name="Adoption rate"/>
    <tableColumn id="18" xr3:uid="{00000000-0010-0000-0600-000012000000}" name="Baseline"/>
    <tableColumn id="19" xr3:uid="{00000000-0010-0000-0600-000013000000}" name="Target"/>
    <tableColumn id="20" xr3:uid="{00000000-0010-0000-0600-000014000000}" name="Observation start"/>
    <tableColumn id="21" xr3:uid="{00000000-0010-0000-0600-000015000000}" name="Observation end"/>
    <tableColumn id="22" xr3:uid="{00000000-0010-0000-0600-000016000000}" name="Current result"/>
    <tableColumn id="23" xr3:uid="{00000000-0010-0000-0600-000017000000}" name="Source"/>
    <tableColumn id="24" xr3:uid="{00000000-0010-0000-0600-000018000000}" name="Balancing measure"/>
    <tableColumn id="25" xr3:uid="{00000000-0010-0000-0600-000019000000}" name="External influences"/>
    <tableColumn id="26" xr3:uid="{00000000-0010-0000-0600-00001A000000}" name="Attribution limit"/>
    <tableColumn id="27" xr3:uid="{00000000-0010-0000-0600-00001B000000}" name="Intervention"/>
    <tableColumn id="28" xr3:uid="{00000000-0010-0000-0600-00001C000000}" name="Benefits handover"/>
    <tableColumn id="29" xr3:uid="{00000000-0010-0000-0600-00001D000000}" name="Next review"/>
    <tableColumn id="30" xr3:uid="{00000000-0010-0000-0600-00001E000000}" name="Baseline date"/>
    <tableColumn id="31" xr3:uid="{00000000-0010-0000-0600-00001F000000}" name="Target date"/>
    <tableColumn id="32" xr3:uid="{00000000-0010-0000-0600-000020000000}" name="Adoption direction"/>
    <tableColumn id="33" xr3:uid="{00000000-0010-0000-0600-000021000000}" name="Outcome direction"/>
    <tableColumn id="34" xr3:uid="{00000000-0010-0000-0600-000022000000}" name="Observation days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10" displayName="T10_" ref="A8:AN58" totalsRowShown="0">
  <tableColumns count="40">
    <tableColumn id="1" xr3:uid="{00000000-0010-0000-0700-000001000000}" name="ID"/>
    <tableColumn id="2" xr3:uid="{00000000-0010-0000-0700-000002000000}" name="Recovery trigger"/>
    <tableColumn id="3" xr3:uid="{00000000-0010-0000-0700-000003000000}" name="RESET stage"/>
    <tableColumn id="4" xr3:uid="{00000000-0010-0000-0700-000004000000}" name="Owner"/>
    <tableColumn id="5" xr3:uid="{00000000-0010-0000-0700-000005000000}" name="Due date"/>
    <tableColumn id="6" xr3:uid="{00000000-0010-0000-0700-000006000000}" name="Priority"/>
    <tableColumn id="7" xr3:uid="{00000000-0010-0000-0700-000007000000}" name="Flags"/>
    <tableColumn id="8" xr3:uid="{00000000-0010-0000-0700-000008000000}" name="Suggested action"/>
    <tableColumn id="9" xr3:uid="{00000000-0010-0000-0700-000009000000}" name="Exposure"/>
    <tableColumn id="10" xr3:uid="{00000000-0010-0000-0700-00000A000000}" name="Evidence required"/>
    <tableColumn id="11" xr3:uid="{00000000-0010-0000-0700-00000B000000}" name="Mandate"/>
    <tableColumn id="12" xr3:uid="{00000000-0010-0000-0700-00000C000000}" name="Scope"/>
    <tableColumn id="13" xr3:uid="{00000000-0010-0000-0700-00000D000000}" name="Authority"/>
    <tableColumn id="14" xr3:uid="{00000000-0010-0000-0700-00000E000000}" name="Accepted work"/>
    <tableColumn id="15" xr3:uid="{00000000-0010-0000-0700-00000F000000}" name="Evidence"/>
    <tableColumn id="16" xr3:uid="{00000000-0010-0000-0700-000010000000}" name="Remaining work"/>
    <tableColumn id="17" xr3:uid="{00000000-0010-0000-0700-000011000000}" name="Suspected cause"/>
    <tableColumn id="18" xr3:uid="{00000000-0010-0000-0700-000012000000}" name="Alternative explanation"/>
    <tableColumn id="19" xr3:uid="{00000000-0010-0000-0700-000013000000}" name="Test of explanation"/>
    <tableColumn id="20" xr3:uid="{00000000-0010-0000-0700-000014000000}" name="Options"/>
    <tableColumn id="21" xr3:uid="{00000000-0010-0000-0700-000015000000}" name="Recommendation"/>
    <tableColumn id="22" xr3:uid="{00000000-0010-0000-0700-000016000000}" name="Sequence"/>
    <tableColumn id="23" xr3:uid="{00000000-0010-0000-0700-000017000000}" name="Recovery test"/>
    <tableColumn id="24" xr3:uid="{00000000-0010-0000-0700-000018000000}" name="Observation date"/>
    <tableColumn id="25" xr3:uid="{00000000-0010-0000-0700-000019000000}" name="Unknowns"/>
    <tableColumn id="26" xr3:uid="{00000000-0010-0000-0700-00001A000000}" name="Investigation owner"/>
    <tableColumn id="27" xr3:uid="{00000000-0010-0000-0700-00001B000000}" name="Sponsor decision"/>
    <tableColumn id="28" xr3:uid="{00000000-0010-0000-0700-00001C000000}" name="Next review"/>
    <tableColumn id="29" xr3:uid="{00000000-0010-0000-0700-00001D000000}" name="Intervention effect"/>
    <tableColumn id="30" xr3:uid="{00000000-0010-0000-0700-00001E000000}" name="Effect evidence"/>
    <tableColumn id="31" xr3:uid="{00000000-0010-0000-0700-00001F000000}" name="Decision latency change"/>
    <tableColumn id="32" xr3:uid="{00000000-0010-0000-0700-000020000000}" name="Dependency acceptance change"/>
    <tableColumn id="33" xr3:uid="{00000000-0010-0000-0700-000021000000}" name="Blocker age change"/>
    <tableColumn id="34" xr3:uid="{00000000-0010-0000-0700-000022000000}" name="Evidence availability change"/>
    <tableColumn id="35" xr3:uid="{00000000-0010-0000-0700-000023000000}" name="Readiness change"/>
    <tableColumn id="36" xr3:uid="{00000000-0010-0000-0700-000024000000}" name="Forecast credibility change"/>
    <tableColumn id="37" xr3:uid="{00000000-0010-0000-0700-000025000000}" name="Displaced risk"/>
    <tableColumn id="38" xr3:uid="{00000000-0010-0000-0700-000026000000}" name="Status"/>
    <tableColumn id="39" xr3:uid="{00000000-0010-0000-0700-000027000000}" name="Linked decision"/>
    <tableColumn id="40" xr3:uid="{00000000-0010-0000-0700-000028000000}" name="Linked depend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Actions" displayName="Actions" ref="A8:K415" totalsRowShown="0">
  <tableColumns count="11">
    <tableColumn id="1" xr3:uid="{00000000-0010-0000-0800-000001000000}" name="Priority"/>
    <tableColumn id="2" xr3:uid="{00000000-0010-0000-0800-000002000000}" name="Source control"/>
    <tableColumn id="3" xr3:uid="{00000000-0010-0000-0800-000003000000}" name="Source ID"/>
    <tableColumn id="4" xr3:uid="{00000000-0010-0000-0800-000004000000}" name="Issue"/>
    <tableColumn id="5" xr3:uid="{00000000-0010-0000-0800-000005000000}" name="Trigger"/>
    <tableColumn id="6" xr3:uid="{00000000-0010-0000-0800-000006000000}" name="Recommended next action"/>
    <tableColumn id="7" xr3:uid="{00000000-0010-0000-0800-000007000000}" name="Owner"/>
    <tableColumn id="8" xr3:uid="{00000000-0010-0000-0800-000008000000}" name="Due date"/>
    <tableColumn id="9" xr3:uid="{00000000-0010-0000-0800-000009000000}" name="Consequence"/>
    <tableColumn id="10" xr3:uid="{00000000-0010-0000-0800-00000A000000}" name="Evidence required"/>
    <tableColumn id="11" xr3:uid="{00000000-0010-0000-0800-00000B000000}" name="Status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ReviewHistory" displayName="ReviewHistory" ref="A8:J108" totalsRowShown="0">
  <tableColumns count="10">
    <tableColumn id="1" xr3:uid="{00000000-0010-0000-0900-000001000000}" name="Review date"/>
    <tableColumn id="2" xr3:uid="{00000000-0010-0000-0900-000002000000}" name="Control"/>
    <tableColumn id="3" xr3:uid="{00000000-0010-0000-0900-000003000000}" name="Condition"/>
    <tableColumn id="4" xr3:uid="{00000000-0010-0000-0900-000004000000}" name="Trajectory"/>
    <tableColumn id="5" xr3:uid="{00000000-0010-0000-0900-000005000000}" name="Confidence"/>
    <tableColumn id="6" xr3:uid="{00000000-0010-0000-0900-000006000000}" name="Intervention"/>
    <tableColumn id="7" xr3:uid="{00000000-0010-0000-0900-000007000000}" name="Owner"/>
    <tableColumn id="8" xr3:uid="{00000000-0010-0000-0900-000008000000}" name="Due date"/>
    <tableColumn id="9" xr3:uid="{00000000-0010-0000-0900-000009000000}" name="Observed effect"/>
    <tableColumn id="10" xr3:uid="{00000000-0010-0000-0900-00000A000000}" name="Effect evidence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15" displayName="T15_" ref="A8:V58" totalsRowShown="0">
  <tableColumns count="22">
    <tableColumn id="1" xr3:uid="{00000000-0010-0000-0A00-000001000000}" name="ID"/>
    <tableColumn id="2" xr3:uid="{00000000-0010-0000-0A00-000002000000}" name="Use case"/>
    <tableColumn id="3" xr3:uid="{00000000-0010-0000-0A00-000003000000}" name="Status"/>
    <tableColumn id="4" xr3:uid="{00000000-0010-0000-0A00-000004000000}" name="Owner"/>
    <tableColumn id="5" xr3:uid="{00000000-0010-0000-0A00-000005000000}" name="Due date"/>
    <tableColumn id="6" xr3:uid="{00000000-0010-0000-0A00-000006000000}" name="Priority"/>
    <tableColumn id="7" xr3:uid="{00000000-0010-0000-0A00-000007000000}" name="Flags"/>
    <tableColumn id="8" xr3:uid="{00000000-0010-0000-0A00-000008000000}" name="Suggested action"/>
    <tableColumn id="9" xr3:uid="{00000000-0010-0000-0A00-000009000000}" name="Consequence"/>
    <tableColumn id="10" xr3:uid="{00000000-0010-0000-0A00-00000A000000}" name="Evidence required"/>
    <tableColumn id="11" xr3:uid="{00000000-0010-0000-0A00-00000B000000}" name="Permitted work"/>
    <tableColumn id="12" xr3:uid="{00000000-0010-0000-0A00-00000C000000}" name="Prohibited action"/>
    <tableColumn id="13" xr3:uid="{00000000-0010-0000-0A00-00000D000000}" name="Approved environment"/>
    <tableColumn id="14" xr3:uid="{00000000-0010-0000-0A00-00000E000000}" name="Provenance requirement"/>
    <tableColumn id="15" xr3:uid="{00000000-0010-0000-0A00-00000F000000}" name="Human reviewer"/>
    <tableColumn id="16" xr3:uid="{00000000-0010-0000-0A00-000010000000}" name="Quality checks"/>
    <tableColumn id="17" xr3:uid="{00000000-0010-0000-0A00-000011000000}" name="Output destination"/>
    <tableColumn id="18" xr3:uid="{00000000-0010-0000-0A00-000012000000}" name="Approval boundary"/>
    <tableColumn id="19" xr3:uid="{00000000-0010-0000-0A00-000013000000}" name="Pilot measure"/>
    <tableColumn id="20" xr3:uid="{00000000-0010-0000-0A00-000014000000}" name="Stop condition"/>
    <tableColumn id="21" xr3:uid="{00000000-0010-0000-0A00-000015000000}" name="Fallback"/>
    <tableColumn id="22" xr3:uid="{00000000-0010-0000-0A00-000016000000}" name="Next review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343C"/>
  </sheetPr>
  <dimension ref="A1:J75"/>
  <sheetViews>
    <sheetView showGridLines="0" tabSelected="1" zoomScale="85" workbookViewId="0"/>
  </sheetViews>
  <sheetFormatPr defaultRowHeight="14.25"/>
  <cols>
    <col min="1" max="1" width="26" customWidth="1"/>
    <col min="2" max="2" width="62" customWidth="1"/>
    <col min="3" max="10" width="20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2.1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3.950000000000003" customHeight="1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3.950000000000003" customHeight="1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4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3.950000000000003" customHeight="1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3.950000000000003" customHeight="1">
      <c r="A12" s="21" t="s">
        <v>5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33.950000000000003" customHeight="1">
      <c r="A15" s="5" t="s">
        <v>6</v>
      </c>
      <c r="B15" s="5" t="s">
        <v>7</v>
      </c>
      <c r="C15" s="1"/>
      <c r="D15" s="1"/>
      <c r="E15" s="1"/>
      <c r="F15" s="1"/>
      <c r="G15" s="1"/>
      <c r="H15" s="1"/>
      <c r="I15" s="1"/>
      <c r="J15" s="1"/>
    </row>
    <row r="16" spans="1:10" ht="24" customHeight="1">
      <c r="A16" s="1" t="s">
        <v>8</v>
      </c>
      <c r="B16" s="1" t="s">
        <v>9</v>
      </c>
      <c r="C16" s="1"/>
      <c r="D16" s="1"/>
      <c r="E16" s="1"/>
      <c r="F16" s="1"/>
      <c r="G16" s="1"/>
      <c r="H16" s="1"/>
      <c r="I16" s="1"/>
      <c r="J16" s="1"/>
    </row>
    <row r="17" spans="1:10" ht="24" customHeight="1">
      <c r="A17" s="1" t="s">
        <v>10</v>
      </c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24" customHeight="1">
      <c r="A18" s="1" t="s">
        <v>12</v>
      </c>
      <c r="B18" s="1" t="s">
        <v>13</v>
      </c>
      <c r="C18" s="1"/>
      <c r="D18" s="1"/>
      <c r="E18" s="1"/>
      <c r="F18" s="1"/>
      <c r="G18" s="1"/>
      <c r="H18" s="1"/>
      <c r="I18" s="1"/>
      <c r="J18" s="1"/>
    </row>
    <row r="19" spans="1:10" ht="24" customHeight="1">
      <c r="A19" s="1" t="s">
        <v>14</v>
      </c>
      <c r="B19" s="1" t="s">
        <v>15</v>
      </c>
      <c r="C19" s="1"/>
      <c r="D19" s="1"/>
      <c r="E19" s="1"/>
      <c r="F19" s="1"/>
      <c r="G19" s="1"/>
      <c r="H19" s="1"/>
      <c r="I19" s="1"/>
      <c r="J19" s="1"/>
    </row>
    <row r="20" spans="1:10" ht="24" customHeight="1">
      <c r="A20" s="1" t="s">
        <v>16</v>
      </c>
      <c r="B20" s="1" t="s">
        <v>17</v>
      </c>
      <c r="C20" s="1"/>
      <c r="D20" s="1"/>
      <c r="E20" s="1"/>
      <c r="F20" s="1"/>
      <c r="G20" s="1"/>
      <c r="H20" s="1"/>
      <c r="I20" s="1"/>
      <c r="J20" s="1"/>
    </row>
    <row r="21" spans="1:10" ht="24" customHeight="1">
      <c r="A21" s="1" t="s">
        <v>18</v>
      </c>
      <c r="B21" s="1" t="s">
        <v>19</v>
      </c>
      <c r="C21" s="1"/>
      <c r="D21" s="1"/>
      <c r="E21" s="1"/>
      <c r="F21" s="1"/>
      <c r="G21" s="1"/>
      <c r="H21" s="1"/>
      <c r="I21" s="1"/>
      <c r="J21" s="1"/>
    </row>
    <row r="22" spans="1:10" ht="24" customHeight="1">
      <c r="A22" s="1" t="s">
        <v>20</v>
      </c>
      <c r="B22" s="1" t="s">
        <v>21</v>
      </c>
      <c r="C22" s="1"/>
      <c r="D22" s="1"/>
      <c r="E22" s="1"/>
      <c r="F22" s="1"/>
      <c r="G22" s="1"/>
      <c r="H22" s="1"/>
      <c r="I22" s="1"/>
      <c r="J22" s="1"/>
    </row>
    <row r="23" spans="1:10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33.950000000000003" customHeight="1">
      <c r="A24" s="21" t="s">
        <v>22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33.950000000000003" customHeight="1">
      <c r="A26" s="21" t="s">
        <v>23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33.950000000000003" customHeight="1">
      <c r="A28" s="21" t="s">
        <v>24</v>
      </c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33.950000000000003" customHeight="1">
      <c r="A30" s="21" t="s">
        <v>25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" customHeight="1">
      <c r="A32" s="4" t="s">
        <v>26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24" customHeight="1">
      <c r="A33" s="4" t="s">
        <v>27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24" customHeight="1">
      <c r="A34" s="4" t="s">
        <v>28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24" customHeight="1">
      <c r="A35" s="4" t="s">
        <v>29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4" customHeight="1">
      <c r="A36" s="4" t="s">
        <v>30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24" customHeight="1">
      <c r="A37" s="4" t="s">
        <v>31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24" customHeight="1">
      <c r="A38" s="4" t="s">
        <v>32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24" customHeight="1">
      <c r="A39" s="4" t="s">
        <v>33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24" customHeight="1">
      <c r="A40" s="4" t="s">
        <v>34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24" customHeight="1">
      <c r="A41" s="4" t="s">
        <v>35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24" customHeight="1">
      <c r="A42" s="4" t="s">
        <v>36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ht="24" customHeight="1">
      <c r="A43" s="4" t="s">
        <v>37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24" customHeight="1">
      <c r="A44" s="4" t="s">
        <v>38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24" customHeight="1">
      <c r="A45" s="4" t="s">
        <v>39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ht="24" customHeight="1">
      <c r="A46" s="4" t="s">
        <v>40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33.950000000000003" customHeight="1">
      <c r="A49" s="21" t="s">
        <v>41</v>
      </c>
      <c r="B49" s="21"/>
      <c r="C49" s="21"/>
      <c r="D49" s="21"/>
      <c r="E49" s="21"/>
      <c r="F49" s="21"/>
      <c r="G49" s="21"/>
      <c r="H49" s="21"/>
      <c r="I49" s="21"/>
      <c r="J49" s="21"/>
    </row>
    <row r="50" spans="1:10" ht="33.950000000000003" customHeight="1">
      <c r="A50" s="21" t="s">
        <v>42</v>
      </c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33.950000000000003" customHeight="1">
      <c r="A52" s="21" t="s">
        <v>43</v>
      </c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33.950000000000003" customHeight="1">
      <c r="A54" s="21" t="s">
        <v>44</v>
      </c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33.950000000000003" customHeight="1">
      <c r="A56" s="21" t="s">
        <v>45</v>
      </c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33.950000000000003" customHeight="1">
      <c r="A58" s="21" t="s">
        <v>46</v>
      </c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33.950000000000003" customHeight="1">
      <c r="A60" s="21" t="s">
        <v>47</v>
      </c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33.950000000000003" customHeight="1">
      <c r="A62" s="21" t="s">
        <v>48</v>
      </c>
      <c r="B62" s="21"/>
      <c r="C62" s="21"/>
      <c r="D62" s="21"/>
      <c r="E62" s="21"/>
      <c r="F62" s="21"/>
      <c r="G62" s="21"/>
      <c r="H62" s="21"/>
      <c r="I62" s="21"/>
      <c r="J62" s="21"/>
    </row>
    <row r="63" spans="1:10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</sheetData>
  <mergeCells count="16">
    <mergeCell ref="A4:J4"/>
    <mergeCell ref="A8:J8"/>
    <mergeCell ref="A10:J10"/>
    <mergeCell ref="A12:J12"/>
    <mergeCell ref="A24:J24"/>
    <mergeCell ref="A26:J26"/>
    <mergeCell ref="A28:J28"/>
    <mergeCell ref="A30:J30"/>
    <mergeCell ref="A49:J49"/>
    <mergeCell ref="A50:J50"/>
    <mergeCell ref="A62:J62"/>
    <mergeCell ref="A52:J52"/>
    <mergeCell ref="A54:J54"/>
    <mergeCell ref="A56:J56"/>
    <mergeCell ref="A58:J58"/>
    <mergeCell ref="A60:J60"/>
  </mergeCells>
  <hyperlinks>
    <hyperlink ref="A6" location="'00 - START HERE'!A1" display="Start here" xr:uid="{00000000-0004-0000-0000-000000000000}"/>
    <hyperlink ref="A32" location="'01 - PROJECT SETUP'!A1" display="01 - PROJECT SETUP" xr:uid="{00000000-0004-0000-0000-000001000000}"/>
    <hyperlink ref="A33" location="'02 - CONTROL DASHBOARD'!A1" display="02 - CONTROL DASHBOARD" xr:uid="{00000000-0004-0000-0000-000002000000}"/>
    <hyperlink ref="A34" location="'03 - HEALTH REVIEW'!A1" display="03 - HEALTH REVIEW" xr:uid="{00000000-0004-0000-0000-000003000000}"/>
    <hyperlink ref="A35" location="'04 - DECISION LOG'!A1" display="04 - DECISION LOG" xr:uid="{00000000-0004-0000-0000-000004000000}"/>
    <hyperlink ref="A36" location="'05 - DEPENDENCIES'!A1" display="05 - DEPENDENCIES" xr:uid="{00000000-0004-0000-0000-000005000000}"/>
    <hyperlink ref="A37" location="'06 - FLOW'!A1" display="06 - FLOW" xr:uid="{00000000-0004-0000-0000-000006000000}"/>
    <hyperlink ref="A38" location="'07 - EVIDENCE &amp; ASSURANCE'!A1" display="07 - EVIDENCE &amp; ASSURANCE" xr:uid="{00000000-0004-0000-0000-000007000000}"/>
    <hyperlink ref="A39" location="'08 - READINESS'!A1" display="08 - READINESS" xr:uid="{00000000-0004-0000-0000-000008000000}"/>
    <hyperlink ref="A40" location="'09 - ADOPTION &amp; BENEFITS'!A1" display="09 - ADOPTION &amp; BENEFITS" xr:uid="{00000000-0004-0000-0000-000009000000}"/>
    <hyperlink ref="A41" location="'10 - RECOVERY'!A1" display="10 - RECOVERY" xr:uid="{00000000-0004-0000-0000-00000A000000}"/>
    <hyperlink ref="A42" location="'11 - STEERING PACK'!A1" display="11 - STEERING PACK" xr:uid="{00000000-0004-0000-0000-00000B000000}"/>
    <hyperlink ref="A43" location="'12 - NEXT ACTIONS'!A1" display="12 - NEXT ACTIONS" xr:uid="{00000000-0004-0000-0000-00000C000000}"/>
    <hyperlink ref="A44" location="'13 - DATA &amp; LISTS'!A1" display="13 - DATA &amp; LISTS" xr:uid="{00000000-0004-0000-0000-00000D000000}"/>
    <hyperlink ref="A45" location="'14 - REVIEW HISTORY'!A1" display="14 - REVIEW HISTORY" xr:uid="{00000000-0004-0000-0000-00000E000000}"/>
    <hyperlink ref="A46" location="'15 - AI DELEGATION'!A1" display="15 - AI DELEGATION" xr:uid="{00000000-0004-0000-0000-00000F000000}"/>
  </hyperlinks>
  <pageMargins left="0.25" right="0.25" top="0.4" bottom="0.4" header="0.2" footer="0.2"/>
  <pageSetup paperSize="8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343C"/>
  </sheetPr>
  <dimension ref="A1:E75"/>
  <sheetViews>
    <sheetView showGridLines="0" zoomScale="85" workbookViewId="0"/>
  </sheetViews>
  <sheetFormatPr defaultRowHeight="14.25"/>
  <cols>
    <col min="1" max="1" width="38" customWidth="1"/>
    <col min="2" max="2" width="35" customWidth="1"/>
    <col min="3" max="3" width="85" customWidth="1"/>
    <col min="4" max="5" width="20" customWidth="1"/>
  </cols>
  <sheetData>
    <row r="1" spans="1:5" ht="24" customHeight="1">
      <c r="A1" s="1"/>
      <c r="B1" s="1"/>
      <c r="C1" s="1"/>
      <c r="D1" s="1"/>
      <c r="E1" s="1"/>
    </row>
    <row r="2" spans="1:5" ht="32.1" customHeight="1">
      <c r="A2" s="2" t="s">
        <v>49</v>
      </c>
      <c r="B2" s="1"/>
      <c r="C2" s="1"/>
      <c r="D2" s="1"/>
      <c r="E2" s="1"/>
    </row>
    <row r="3" spans="1:5" ht="24" customHeight="1">
      <c r="A3" s="1"/>
      <c r="B3" s="1"/>
      <c r="C3" s="1"/>
      <c r="D3" s="1"/>
      <c r="E3" s="1"/>
    </row>
    <row r="4" spans="1:5" ht="33.950000000000003" customHeight="1">
      <c r="A4" s="21" t="s">
        <v>50</v>
      </c>
      <c r="B4" s="21"/>
      <c r="C4" s="21"/>
      <c r="D4" s="1"/>
      <c r="E4" s="1"/>
    </row>
    <row r="5" spans="1:5" ht="24" customHeight="1">
      <c r="A5" s="1"/>
      <c r="B5" s="1"/>
      <c r="C5" s="1"/>
      <c r="D5" s="1"/>
      <c r="E5" s="1"/>
    </row>
    <row r="6" spans="1:5" ht="24" customHeight="1">
      <c r="A6" s="4" t="s">
        <v>2</v>
      </c>
      <c r="B6" s="1"/>
      <c r="C6" s="1"/>
      <c r="D6" s="1"/>
      <c r="E6" s="1"/>
    </row>
    <row r="7" spans="1:5" ht="24" customHeight="1">
      <c r="A7" s="1"/>
      <c r="B7" s="1"/>
      <c r="C7" s="1"/>
      <c r="D7" s="1"/>
      <c r="E7" s="1"/>
    </row>
    <row r="8" spans="1:5" ht="33.950000000000003" customHeight="1">
      <c r="A8" s="5" t="s">
        <v>51</v>
      </c>
      <c r="B8" s="5" t="s">
        <v>8</v>
      </c>
      <c r="C8" s="5" t="s">
        <v>52</v>
      </c>
      <c r="D8" s="1"/>
      <c r="E8" s="1"/>
    </row>
    <row r="9" spans="1:5" ht="24" customHeight="1">
      <c r="A9" s="1" t="s">
        <v>53</v>
      </c>
      <c r="B9" s="6" t="s">
        <v>54</v>
      </c>
      <c r="C9" s="3" t="s">
        <v>55</v>
      </c>
      <c r="D9" s="1"/>
      <c r="E9" s="1"/>
    </row>
    <row r="10" spans="1:5" ht="24" customHeight="1">
      <c r="A10" s="1" t="s">
        <v>56</v>
      </c>
      <c r="B10" s="6" t="s">
        <v>57</v>
      </c>
      <c r="C10" s="3"/>
      <c r="D10" s="1"/>
      <c r="E10" s="1"/>
    </row>
    <row r="11" spans="1:5" ht="24" customHeight="1">
      <c r="A11" s="1" t="s">
        <v>58</v>
      </c>
      <c r="B11" s="6" t="s">
        <v>59</v>
      </c>
      <c r="C11" s="3" t="s">
        <v>60</v>
      </c>
      <c r="D11" s="1"/>
      <c r="E11" s="1"/>
    </row>
    <row r="12" spans="1:5" ht="24" customHeight="1">
      <c r="A12" s="1" t="s">
        <v>61</v>
      </c>
      <c r="B12" s="6" t="s">
        <v>61</v>
      </c>
      <c r="C12" s="3"/>
      <c r="D12" s="1"/>
      <c r="E12" s="1"/>
    </row>
    <row r="13" spans="1:5" ht="24" customHeight="1">
      <c r="A13" s="1" t="s">
        <v>62</v>
      </c>
      <c r="B13" s="6" t="s">
        <v>63</v>
      </c>
      <c r="C13" s="3"/>
      <c r="D13" s="1"/>
      <c r="E13" s="1"/>
    </row>
    <row r="14" spans="1:5" ht="24" customHeight="1">
      <c r="A14" s="1" t="s">
        <v>64</v>
      </c>
      <c r="B14" s="6" t="s">
        <v>64</v>
      </c>
      <c r="C14" s="3"/>
      <c r="D14" s="1"/>
      <c r="E14" s="1"/>
    </row>
    <row r="15" spans="1:5" ht="24" customHeight="1">
      <c r="A15" s="1" t="s">
        <v>65</v>
      </c>
      <c r="B15" s="7">
        <v>46289</v>
      </c>
      <c r="C15" s="3" t="s">
        <v>66</v>
      </c>
      <c r="D15" s="1"/>
      <c r="E15" s="1"/>
    </row>
    <row r="16" spans="1:5" ht="24" customHeight="1">
      <c r="A16" s="1" t="s">
        <v>67</v>
      </c>
      <c r="B16" s="6">
        <v>14</v>
      </c>
      <c r="C16" s="3" t="s">
        <v>68</v>
      </c>
      <c r="D16" s="1"/>
      <c r="E16" s="1"/>
    </row>
    <row r="17" spans="1:5" ht="24" customHeight="1">
      <c r="A17" s="1" t="s">
        <v>69</v>
      </c>
      <c r="B17" s="7">
        <v>46295</v>
      </c>
      <c r="C17" s="3" t="s">
        <v>70</v>
      </c>
      <c r="D17" s="1"/>
      <c r="E17" s="1"/>
    </row>
    <row r="18" spans="1:5" ht="24" customHeight="1">
      <c r="A18" s="1" t="s">
        <v>71</v>
      </c>
      <c r="B18" s="6" t="s">
        <v>72</v>
      </c>
      <c r="C18" s="3" t="s">
        <v>73</v>
      </c>
      <c r="D18" s="1"/>
      <c r="E18" s="1"/>
    </row>
    <row r="19" spans="1:5" ht="24" customHeight="1">
      <c r="A19" s="1" t="s">
        <v>74</v>
      </c>
      <c r="B19" s="6" t="s">
        <v>75</v>
      </c>
      <c r="C19" s="3"/>
      <c r="D19" s="1"/>
      <c r="E19" s="1"/>
    </row>
    <row r="20" spans="1:5" ht="24" customHeight="1">
      <c r="A20" s="1" t="s">
        <v>76</v>
      </c>
      <c r="B20" s="6" t="s">
        <v>77</v>
      </c>
      <c r="C20" s="3"/>
      <c r="D20" s="1"/>
      <c r="E20" s="1"/>
    </row>
    <row r="21" spans="1:5" ht="24" customHeight="1">
      <c r="A21" s="1" t="s">
        <v>78</v>
      </c>
      <c r="B21" s="6" t="s">
        <v>79</v>
      </c>
      <c r="C21" s="3" t="s">
        <v>80</v>
      </c>
      <c r="D21" s="1"/>
      <c r="E21" s="1"/>
    </row>
    <row r="22" spans="1:5" ht="24" customHeight="1">
      <c r="A22" s="1" t="s">
        <v>81</v>
      </c>
      <c r="B22" s="6">
        <v>7</v>
      </c>
      <c r="C22" s="3" t="s">
        <v>82</v>
      </c>
      <c r="D22" s="1"/>
      <c r="E22" s="1"/>
    </row>
    <row r="23" spans="1:5" ht="24" customHeight="1">
      <c r="A23" s="1" t="s">
        <v>83</v>
      </c>
      <c r="B23" s="6">
        <v>14</v>
      </c>
      <c r="C23" s="3" t="s">
        <v>82</v>
      </c>
      <c r="D23" s="1"/>
      <c r="E23" s="1"/>
    </row>
    <row r="24" spans="1:5" ht="24" customHeight="1">
      <c r="A24" s="1" t="s">
        <v>84</v>
      </c>
      <c r="B24" s="6">
        <v>2</v>
      </c>
      <c r="C24" s="3" t="s">
        <v>85</v>
      </c>
      <c r="D24" s="1"/>
      <c r="E24" s="1"/>
    </row>
    <row r="25" spans="1:5" ht="24" customHeight="1">
      <c r="A25" s="1" t="s">
        <v>86</v>
      </c>
      <c r="B25" s="6">
        <v>5</v>
      </c>
      <c r="C25" s="3" t="s">
        <v>87</v>
      </c>
      <c r="D25" s="1"/>
      <c r="E25" s="1"/>
    </row>
    <row r="26" spans="1:5" ht="24" customHeight="1">
      <c r="A26" s="1" t="s">
        <v>88</v>
      </c>
      <c r="B26" s="6">
        <v>2</v>
      </c>
      <c r="C26" s="3" t="s">
        <v>89</v>
      </c>
      <c r="D26" s="1"/>
      <c r="E26" s="1"/>
    </row>
    <row r="27" spans="1:5" ht="24" customHeight="1">
      <c r="A27" s="1" t="s">
        <v>90</v>
      </c>
      <c r="B27" s="6">
        <v>30</v>
      </c>
      <c r="C27" s="3" t="s">
        <v>91</v>
      </c>
      <c r="D27" s="1"/>
      <c r="E27" s="1"/>
    </row>
    <row r="28" spans="1:5" ht="24" customHeight="1">
      <c r="A28" s="1" t="s">
        <v>92</v>
      </c>
      <c r="B28" s="6">
        <v>30</v>
      </c>
      <c r="C28" s="3" t="s">
        <v>93</v>
      </c>
      <c r="D28" s="1"/>
      <c r="E28" s="1"/>
    </row>
    <row r="29" spans="1:5" ht="24" customHeight="1">
      <c r="A29" s="1" t="s">
        <v>94</v>
      </c>
      <c r="B29" s="6">
        <v>7</v>
      </c>
      <c r="C29" s="3" t="s">
        <v>95</v>
      </c>
      <c r="D29" s="1"/>
      <c r="E29" s="1"/>
    </row>
    <row r="30" spans="1:5" ht="24" customHeight="1">
      <c r="A30" s="1" t="s">
        <v>96</v>
      </c>
      <c r="B30" s="6">
        <v>14</v>
      </c>
      <c r="C30" s="3" t="s">
        <v>97</v>
      </c>
      <c r="D30" s="1"/>
      <c r="E30" s="1"/>
    </row>
    <row r="31" spans="1:5" ht="24" customHeight="1">
      <c r="A31" s="1" t="s">
        <v>98</v>
      </c>
      <c r="B31" s="7">
        <v>46282</v>
      </c>
      <c r="C31" s="3" t="s">
        <v>99</v>
      </c>
      <c r="D31" s="1"/>
      <c r="E31" s="1"/>
    </row>
    <row r="32" spans="1:5" ht="24" customHeight="1">
      <c r="A32" s="1"/>
      <c r="B32" s="6"/>
      <c r="C32" s="3"/>
      <c r="D32" s="1"/>
      <c r="E32" s="1"/>
    </row>
    <row r="33" spans="1:5" ht="24" customHeight="1">
      <c r="A33" s="1"/>
      <c r="B33" s="6"/>
      <c r="C33" s="3"/>
      <c r="D33" s="1"/>
      <c r="E33" s="1"/>
    </row>
    <row r="34" spans="1:5" ht="33.950000000000003" customHeight="1">
      <c r="A34" s="21" t="s">
        <v>100</v>
      </c>
      <c r="B34" s="22"/>
      <c r="C34" s="21"/>
      <c r="D34" s="1"/>
      <c r="E34" s="1"/>
    </row>
    <row r="35" spans="1:5" ht="24" customHeight="1">
      <c r="A35" s="1"/>
      <c r="B35" s="6"/>
      <c r="C35" s="3"/>
      <c r="D35" s="1"/>
      <c r="E35" s="1"/>
    </row>
    <row r="36" spans="1:5" ht="24" customHeight="1">
      <c r="A36" s="1" t="str">
        <f>IF(ReviewDate="","SET REVIEW DATE",IF(OR(Horizon&lt;1,WarnDays&lt;1,EscDays&lt;WarnDays,Misses&lt;1,BlockDays&lt;1,MoveCount&lt;1,FreshDays&lt;1,ObservationDays&lt;1,Upcoming&lt;1),"CHECK LOCAL THRESHOLDS","Local settings entered"))</f>
        <v>Local settings entered</v>
      </c>
      <c r="B36" s="6"/>
      <c r="C36" s="3"/>
      <c r="D36" s="1"/>
      <c r="E36" s="1"/>
    </row>
    <row r="37" spans="1:5" ht="24" customHeight="1">
      <c r="A37" s="1"/>
      <c r="B37" s="6"/>
      <c r="C37" s="3"/>
      <c r="D37" s="1"/>
      <c r="E37" s="1"/>
    </row>
    <row r="38" spans="1:5" ht="24" customHeight="1">
      <c r="A38" s="1"/>
      <c r="B38" s="6"/>
      <c r="C38" s="3"/>
      <c r="D38" s="1"/>
      <c r="E38" s="1"/>
    </row>
    <row r="39" spans="1:5" ht="24" customHeight="1">
      <c r="A39" s="1"/>
      <c r="B39" s="6"/>
      <c r="C39" s="3"/>
      <c r="D39" s="1"/>
      <c r="E39" s="1"/>
    </row>
    <row r="40" spans="1:5" ht="24" customHeight="1">
      <c r="A40" s="1"/>
      <c r="B40" s="6"/>
      <c r="C40" s="3"/>
      <c r="D40" s="1"/>
      <c r="E40" s="1"/>
    </row>
    <row r="41" spans="1:5" ht="24" customHeight="1">
      <c r="A41" s="1"/>
      <c r="B41" s="1"/>
      <c r="C41" s="1"/>
      <c r="D41" s="1"/>
      <c r="E41" s="1"/>
    </row>
    <row r="42" spans="1:5" ht="24" customHeight="1">
      <c r="A42" s="1"/>
      <c r="B42" s="1"/>
      <c r="C42" s="1"/>
      <c r="D42" s="1"/>
      <c r="E42" s="1"/>
    </row>
    <row r="43" spans="1:5" ht="24" customHeight="1">
      <c r="A43" s="1"/>
      <c r="B43" s="1"/>
      <c r="C43" s="1"/>
      <c r="D43" s="1"/>
      <c r="E43" s="1"/>
    </row>
    <row r="44" spans="1:5" ht="24" customHeight="1">
      <c r="A44" s="1"/>
      <c r="B44" s="1"/>
      <c r="C44" s="1"/>
      <c r="D44" s="1"/>
      <c r="E44" s="1"/>
    </row>
    <row r="45" spans="1:5" ht="24" customHeight="1">
      <c r="A45" s="1"/>
      <c r="B45" s="1"/>
      <c r="C45" s="1"/>
      <c r="D45" s="1"/>
      <c r="E45" s="1"/>
    </row>
    <row r="46" spans="1:5" ht="24" customHeight="1">
      <c r="A46" s="1"/>
      <c r="B46" s="1"/>
      <c r="C46" s="1"/>
      <c r="D46" s="1"/>
      <c r="E46" s="1"/>
    </row>
    <row r="47" spans="1:5" ht="24" customHeight="1">
      <c r="A47" s="1"/>
      <c r="B47" s="1"/>
      <c r="C47" s="1"/>
      <c r="D47" s="1"/>
      <c r="E47" s="1"/>
    </row>
    <row r="48" spans="1:5" ht="24" customHeight="1">
      <c r="A48" s="1"/>
      <c r="B48" s="1"/>
      <c r="C48" s="1"/>
      <c r="D48" s="1"/>
      <c r="E48" s="1"/>
    </row>
    <row r="49" spans="1:5" ht="24" customHeight="1">
      <c r="A49" s="1"/>
      <c r="B49" s="1"/>
      <c r="C49" s="1"/>
      <c r="D49" s="1"/>
      <c r="E49" s="1"/>
    </row>
    <row r="50" spans="1:5" ht="24" customHeight="1">
      <c r="A50" s="1"/>
      <c r="B50" s="1"/>
      <c r="C50" s="1"/>
      <c r="D50" s="1"/>
      <c r="E50" s="1"/>
    </row>
    <row r="51" spans="1:5" ht="24" customHeight="1">
      <c r="A51" s="1"/>
      <c r="B51" s="1"/>
      <c r="C51" s="1"/>
      <c r="D51" s="1"/>
      <c r="E51" s="1"/>
    </row>
    <row r="52" spans="1:5" ht="24" customHeight="1">
      <c r="A52" s="1"/>
      <c r="B52" s="1"/>
      <c r="C52" s="1"/>
      <c r="D52" s="1"/>
      <c r="E52" s="1"/>
    </row>
    <row r="53" spans="1:5" ht="24" customHeight="1">
      <c r="A53" s="1"/>
      <c r="B53" s="1"/>
      <c r="C53" s="1"/>
      <c r="D53" s="1"/>
      <c r="E53" s="1"/>
    </row>
    <row r="54" spans="1:5" ht="24" customHeight="1">
      <c r="A54" s="1"/>
      <c r="B54" s="1"/>
      <c r="C54" s="1"/>
      <c r="D54" s="1"/>
      <c r="E54" s="1"/>
    </row>
    <row r="55" spans="1:5" ht="24" customHeight="1">
      <c r="A55" s="1"/>
      <c r="B55" s="1"/>
      <c r="C55" s="1"/>
      <c r="D55" s="1"/>
      <c r="E55" s="1"/>
    </row>
    <row r="56" spans="1:5" ht="24" customHeight="1">
      <c r="A56" s="1"/>
      <c r="B56" s="1"/>
      <c r="C56" s="1"/>
      <c r="D56" s="1"/>
      <c r="E56" s="1"/>
    </row>
    <row r="57" spans="1:5" ht="24" customHeight="1">
      <c r="A57" s="1"/>
      <c r="B57" s="1"/>
      <c r="C57" s="1"/>
      <c r="D57" s="1"/>
      <c r="E57" s="1"/>
    </row>
    <row r="58" spans="1:5" ht="24" customHeight="1">
      <c r="A58" s="1"/>
      <c r="B58" s="1"/>
      <c r="C58" s="1"/>
      <c r="D58" s="1"/>
      <c r="E58" s="1"/>
    </row>
    <row r="59" spans="1:5" ht="24" customHeight="1">
      <c r="A59" s="1"/>
      <c r="B59" s="1"/>
      <c r="C59" s="1"/>
      <c r="D59" s="1"/>
      <c r="E59" s="1"/>
    </row>
    <row r="60" spans="1:5" ht="24" customHeight="1">
      <c r="A60" s="1"/>
      <c r="B60" s="1"/>
      <c r="C60" s="1"/>
      <c r="D60" s="1"/>
      <c r="E60" s="1"/>
    </row>
    <row r="61" spans="1:5" ht="24" customHeight="1">
      <c r="A61" s="1"/>
      <c r="B61" s="1"/>
      <c r="C61" s="1"/>
      <c r="D61" s="1"/>
      <c r="E61" s="1"/>
    </row>
    <row r="62" spans="1:5" ht="24" customHeight="1">
      <c r="A62" s="1"/>
      <c r="B62" s="1"/>
      <c r="C62" s="1"/>
      <c r="D62" s="1"/>
      <c r="E62" s="1"/>
    </row>
    <row r="63" spans="1:5" ht="24" customHeight="1">
      <c r="A63" s="1"/>
      <c r="B63" s="1"/>
      <c r="C63" s="1"/>
      <c r="D63" s="1"/>
      <c r="E63" s="1"/>
    </row>
    <row r="64" spans="1:5" ht="24" customHeight="1">
      <c r="A64" s="1"/>
      <c r="B64" s="1"/>
      <c r="C64" s="1"/>
      <c r="D64" s="1"/>
      <c r="E64" s="1"/>
    </row>
    <row r="65" spans="1:5" ht="24" customHeight="1">
      <c r="A65" s="1"/>
      <c r="B65" s="1"/>
      <c r="C65" s="1"/>
      <c r="D65" s="1"/>
      <c r="E65" s="1"/>
    </row>
    <row r="66" spans="1:5" ht="24" customHeight="1">
      <c r="A66" s="1"/>
      <c r="B66" s="1"/>
      <c r="C66" s="1"/>
      <c r="D66" s="1"/>
      <c r="E66" s="1"/>
    </row>
    <row r="67" spans="1:5" ht="24" customHeight="1">
      <c r="A67" s="1"/>
      <c r="B67" s="1"/>
      <c r="C67" s="1"/>
      <c r="D67" s="1"/>
      <c r="E67" s="1"/>
    </row>
    <row r="68" spans="1:5" ht="24" customHeight="1">
      <c r="A68" s="1"/>
      <c r="B68" s="1"/>
      <c r="C68" s="1"/>
      <c r="D68" s="1"/>
      <c r="E68" s="1"/>
    </row>
    <row r="69" spans="1:5" ht="24" customHeight="1">
      <c r="A69" s="1"/>
      <c r="B69" s="1"/>
      <c r="C69" s="1"/>
      <c r="D69" s="1"/>
      <c r="E69" s="1"/>
    </row>
    <row r="70" spans="1:5" ht="24" customHeight="1">
      <c r="A70" s="1"/>
      <c r="B70" s="1"/>
      <c r="C70" s="1"/>
      <c r="D70" s="1"/>
      <c r="E70" s="1"/>
    </row>
    <row r="71" spans="1:5" ht="24" customHeight="1">
      <c r="A71" s="1"/>
      <c r="B71" s="1"/>
      <c r="C71" s="1"/>
      <c r="D71" s="1"/>
      <c r="E71" s="1"/>
    </row>
    <row r="72" spans="1:5" ht="24" customHeight="1">
      <c r="A72" s="1"/>
      <c r="B72" s="1"/>
      <c r="C72" s="1"/>
      <c r="D72" s="1"/>
      <c r="E72" s="1"/>
    </row>
    <row r="73" spans="1:5" ht="24" customHeight="1">
      <c r="A73" s="1"/>
      <c r="B73" s="1"/>
      <c r="C73" s="1"/>
      <c r="D73" s="1"/>
      <c r="E73" s="1"/>
    </row>
    <row r="74" spans="1:5" ht="24" customHeight="1">
      <c r="A74" s="1"/>
      <c r="B74" s="1"/>
      <c r="C74" s="1"/>
      <c r="D74" s="1"/>
      <c r="E74" s="1"/>
    </row>
    <row r="75" spans="1:5" ht="24" customHeight="1">
      <c r="A75" s="1"/>
      <c r="B75" s="1"/>
      <c r="C75" s="1"/>
      <c r="D75" s="1"/>
      <c r="E75" s="1"/>
    </row>
  </sheetData>
  <mergeCells count="2">
    <mergeCell ref="A4:C4"/>
    <mergeCell ref="A34:C34"/>
  </mergeCells>
  <dataValidations count="1">
    <dataValidation type="whole" sqref="B16 B22:B30" xr:uid="{00000000-0002-0000-0100-000000000000}">
      <formula1>1</formula1>
      <formula2>3650</formula2>
    </dataValidation>
  </dataValidations>
  <hyperlinks>
    <hyperlink ref="A6" location="'00 - START HERE'!A1" display="Start here" xr:uid="{00000000-0004-0000-0100-000000000000}"/>
  </hyperlinks>
  <pageMargins left="0.25" right="0.25" top="0.4" bottom="0.4" header="0.2" footer="0.2"/>
  <pageSetup paperSize="8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6343C"/>
  </sheetPr>
  <dimension ref="A1:AA75"/>
  <sheetViews>
    <sheetView showGridLines="0" zoomScale="85" workbookViewId="0"/>
  </sheetViews>
  <sheetFormatPr defaultRowHeight="14.25"/>
  <cols>
    <col min="1" max="4" width="20" customWidth="1"/>
    <col min="5" max="6" width="37" customWidth="1"/>
    <col min="7" max="8" width="20" customWidth="1"/>
    <col min="9" max="9" width="38" customWidth="1"/>
    <col min="10" max="10" width="20" customWidth="1"/>
    <col min="27" max="27" width="0" hidden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2.1" customHeight="1">
      <c r="A2" s="2" t="s">
        <v>101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3.950000000000003" customHeight="1">
      <c r="A4" s="21" t="s">
        <v>102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3.950000000000003" customHeight="1">
      <c r="A8" s="5" t="s">
        <v>6</v>
      </c>
      <c r="B8" s="5" t="s">
        <v>103</v>
      </c>
      <c r="C8" s="5" t="s">
        <v>104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109</v>
      </c>
      <c r="I8" s="5" t="s">
        <v>110</v>
      </c>
      <c r="J8" s="5" t="s">
        <v>111</v>
      </c>
    </row>
    <row r="9" spans="1:10" ht="84" customHeight="1">
      <c r="A9" s="10" t="str">
        <f>IF('03 - HEALTH REVIEW'!B9="","",'03 - HEALTH REVIEW'!B9)</f>
        <v>Value</v>
      </c>
      <c r="B9" s="10" t="str">
        <f>IF('03 - HEALTH REVIEW'!C9="","",'03 - HEALTH REVIEW'!C9)</f>
        <v>Within tolerance</v>
      </c>
      <c r="C9" s="10" t="str">
        <f>IF('03 - HEALTH REVIEW'!D9="","",'03 - HEALTH REVIEW'!D9)</f>
        <v>Stable</v>
      </c>
      <c r="D9" s="10" t="str">
        <f>IF('03 - HEALTH REVIEW'!E9="","",'03 - HEALTH REVIEW'!E9)</f>
        <v>Medium</v>
      </c>
      <c r="E9" s="10" t="str">
        <f>IF('03 - HEALTH REVIEW'!K9="","",'03 - HEALTH REVIEW'!K9)</f>
        <v>Need reconfirmed 22 Sep; remaining cost open (24 Sep 2026)</v>
      </c>
      <c r="F9" s="10" t="str">
        <f>IF('03 - HEALTH REVIEW'!G9="","",'03 - HEALTH REVIEW'!G9)</f>
        <v>Validate remaining cost</v>
      </c>
      <c r="G9" s="10" t="str">
        <f>IF('03 - HEALTH REVIEW'!H9="","",'03 - HEALTH REVIEW'!H9)</f>
        <v>Sponsor</v>
      </c>
      <c r="H9" s="12">
        <f>IF('03 - HEALTH REVIEW'!I9="","",'03 - HEALTH REVIEW'!I9)</f>
        <v>46293</v>
      </c>
      <c r="I9" s="10" t="str">
        <f>IF('03 - HEALTH REVIEW'!F9="","",'03 - HEALTH REVIEW'!F9)</f>
        <v/>
      </c>
      <c r="J9" s="10">
        <f>SUMIF('13 - DATA &amp; LISTS'!$Z$30:$Z$436,A9,'13 - DATA &amp; LISTS'!$AR$30:$AR$436)</f>
        <v>0</v>
      </c>
    </row>
    <row r="10" spans="1:10" ht="84" customHeight="1">
      <c r="A10" s="10" t="str">
        <f>IF('03 - HEALTH REVIEW'!B10="","",'03 - HEALTH REVIEW'!B10)</f>
        <v>Flow</v>
      </c>
      <c r="B10" s="10" t="str">
        <f>IF('03 - HEALTH REVIEW'!C10="","",'03 - HEALTH REVIEW'!C10)</f>
        <v>Watch</v>
      </c>
      <c r="C10" s="10" t="str">
        <f>IF('03 - HEALTH REVIEW'!D10="","",'03 - HEALTH REVIEW'!D10)</f>
        <v>Deteriorating</v>
      </c>
      <c r="D10" s="10" t="str">
        <f>IF('03 - HEALTH REVIEW'!E10="","",'03 - HEALTH REVIEW'!E10)</f>
        <v>High</v>
      </c>
      <c r="E10" s="10" t="str">
        <f>IF('03 - HEALTH REVIEW'!K10="","",'03 - HEALTH REVIEW'!K10)</f>
        <v>Acceptance queue growing across reviews (24 Sep 2026)</v>
      </c>
      <c r="F10" s="10" t="str">
        <f>IF('03 - HEALTH REVIEW'!G10="","",'03 - HEALTH REVIEW'!G10)</f>
        <v>Limit new starts</v>
      </c>
      <c r="G10" s="10" t="str">
        <f>IF('03 - HEALTH REVIEW'!H10="","",'03 - HEALTH REVIEW'!H10)</f>
        <v>Delivery lead</v>
      </c>
      <c r="H10" s="12">
        <f>IF('03 - HEALTH REVIEW'!I10="","",'03 - HEALTH REVIEW'!I10)</f>
        <v>46290</v>
      </c>
      <c r="I10" s="10" t="str">
        <f>IF('03 - HEALTH REVIEW'!F10="","",'03 - HEALTH REVIEW'!F10)</f>
        <v/>
      </c>
      <c r="J10" s="10">
        <f>SUMIF('13 - DATA &amp; LISTS'!$Z$30:$Z$436,A10,'13 - DATA &amp; LISTS'!$AR$30:$AR$436)</f>
        <v>1</v>
      </c>
    </row>
    <row r="11" spans="1:10" ht="84" customHeight="1">
      <c r="A11" s="10" t="str">
        <f>IF('03 - HEALTH REVIEW'!B11="","",'03 - HEALTH REVIEW'!B11)</f>
        <v>Dependencies</v>
      </c>
      <c r="B11" s="10" t="str">
        <f>IF('03 - HEALTH REVIEW'!C11="","",'03 - HEALTH REVIEW'!C11)</f>
        <v>Intervention required</v>
      </c>
      <c r="C11" s="10" t="str">
        <f>IF('03 - HEALTH REVIEW'!D11="","",'03 - HEALTH REVIEW'!D11)</f>
        <v>Deteriorating</v>
      </c>
      <c r="D11" s="10" t="str">
        <f>IF('03 - HEALTH REVIEW'!E11="","",'03 - HEALTH REVIEW'!E11)</f>
        <v>High</v>
      </c>
      <c r="E11" s="10" t="str">
        <f>IF('03 - HEALTH REVIEW'!K11="","",'03 - HEALTH REVIEW'!K11)</f>
        <v>DEP-07 missed two commitments (24 Sep 2026)</v>
      </c>
      <c r="F11" s="10" t="str">
        <f>IF('03 - HEALTH REVIEW'!G11="","",'03 - HEALTH REVIEW'!G11)</f>
        <v>Agree alternative sequence</v>
      </c>
      <c r="G11" s="10" t="str">
        <f>IF('03 - HEALTH REVIEW'!H11="","",'03 - HEALTH REVIEW'!H11)</f>
        <v>Network owner</v>
      </c>
      <c r="H11" s="12">
        <f>IF('03 - HEALTH REVIEW'!I11="","",'03 - HEALTH REVIEW'!I11)</f>
        <v>46290</v>
      </c>
      <c r="I11" s="10" t="str">
        <f>IF('03 - HEALTH REVIEW'!F11="","",'03 - HEALTH REVIEW'!F11)</f>
        <v xml:space="preserve">INTERVENTION REQUIRED </v>
      </c>
      <c r="J11" s="10">
        <f>SUMIF('13 - DATA &amp; LISTS'!$Z$30:$Z$436,A11,'13 - DATA &amp; LISTS'!$AR$30:$AR$436)</f>
        <v>2</v>
      </c>
    </row>
    <row r="12" spans="1:10" ht="84" customHeight="1">
      <c r="A12" s="10" t="str">
        <f>IF('03 - HEALTH REVIEW'!B12="","",'03 - HEALTH REVIEW'!B12)</f>
        <v>Decisions</v>
      </c>
      <c r="B12" s="10" t="str">
        <f>IF('03 - HEALTH REVIEW'!C12="","",'03 - HEALTH REVIEW'!C12)</f>
        <v>Intervention required</v>
      </c>
      <c r="C12" s="10" t="str">
        <f>IF('03 - HEALTH REVIEW'!D12="","",'03 - HEALTH REVIEW'!D12)</f>
        <v>Deteriorating</v>
      </c>
      <c r="D12" s="10" t="str">
        <f>IF('03 - HEALTH REVIEW'!E12="","",'03 - HEALTH REVIEW'!E12)</f>
        <v>High</v>
      </c>
      <c r="E12" s="10" t="str">
        <f>IF('03 - HEALTH REVIEW'!K12="","",'03 - HEALTH REVIEW'!K12)</f>
        <v>D-014 actionable since 6 Sep (24 Sep 2026)</v>
      </c>
      <c r="F12" s="10" t="str">
        <f>IF('03 - HEALTH REVIEW'!G12="","",'03 - HEALTH REVIEW'!G12)</f>
        <v>Select release option</v>
      </c>
      <c r="G12" s="10" t="str">
        <f>IF('03 - HEALTH REVIEW'!H12="","",'03 - HEALTH REVIEW'!H12)</f>
        <v>Sponsor</v>
      </c>
      <c r="H12" s="12">
        <f>IF('03 - HEALTH REVIEW'!I12="","",'03 - HEALTH REVIEW'!I12)</f>
        <v>46290</v>
      </c>
      <c r="I12" s="10" t="str">
        <f>IF('03 - HEALTH REVIEW'!F12="","",'03 - HEALTH REVIEW'!F12)</f>
        <v xml:space="preserve">INTERVENTION REQUIRED </v>
      </c>
      <c r="J12" s="10">
        <f>SUMIF('13 - DATA &amp; LISTS'!$Z$30:$Z$436,A12,'13 - DATA &amp; LISTS'!$AR$30:$AR$436)</f>
        <v>2</v>
      </c>
    </row>
    <row r="13" spans="1:10" ht="84" customHeight="1">
      <c r="A13" s="10" t="str">
        <f>IF('03 - HEALTH REVIEW'!B13="","",'03 - HEALTH REVIEW'!B13)</f>
        <v>Assurance</v>
      </c>
      <c r="B13" s="10" t="str">
        <f>IF('03 - HEALTH REVIEW'!C13="","",'03 - HEALTH REVIEW'!C13)</f>
        <v>Unknown</v>
      </c>
      <c r="C13" s="10" t="str">
        <f>IF('03 - HEALTH REVIEW'!D13="","",'03 - HEALTH REVIEW'!D13)</f>
        <v>Unclear</v>
      </c>
      <c r="D13" s="10" t="str">
        <f>IF('03 - HEALTH REVIEW'!E13="","",'03 - HEALTH REVIEW'!E13)</f>
        <v>Low</v>
      </c>
      <c r="E13" s="10" t="str">
        <f>IF('03 - HEALTH REVIEW'!K13="","",'03 - HEALTH REVIEW'!K13)</f>
        <v>Production-scale recovery not demonstrated (24 Sep 2026)</v>
      </c>
      <c r="F13" s="10" t="str">
        <f>IF('03 - HEALTH REVIEW'!G13="","",'03 - HEALTH REVIEW'!G13)</f>
        <v>Commission representative rehearsal</v>
      </c>
      <c r="G13" s="10" t="str">
        <f>IF('03 - HEALTH REVIEW'!H13="","",'03 - HEALTH REVIEW'!H13)</f>
        <v>Assurance lead</v>
      </c>
      <c r="H13" s="12">
        <f>IF('03 - HEALTH REVIEW'!I13="","",'03 - HEALTH REVIEW'!I13)</f>
        <v>46294</v>
      </c>
      <c r="I13" s="10" t="str">
        <f>IF('03 - HEALTH REVIEW'!F13="","",'03 - HEALTH REVIEW'!F13)</f>
        <v xml:space="preserve">EVIDENCE GAP BEFORE COMMITMENT </v>
      </c>
      <c r="J13" s="10">
        <f>SUMIF('13 - DATA &amp; LISTS'!$Z$30:$Z$436,A13,'13 - DATA &amp; LISTS'!$AR$30:$AR$436)</f>
        <v>2</v>
      </c>
    </row>
    <row r="14" spans="1:10" ht="84" customHeight="1">
      <c r="A14" s="10" t="str">
        <f>IF('03 - HEALTH REVIEW'!B14="","",'03 - HEALTH REVIEW'!B14)</f>
        <v>Readiness</v>
      </c>
      <c r="B14" s="10" t="str">
        <f>IF('03 - HEALTH REVIEW'!C14="","",'03 - HEALTH REVIEW'!C14)</f>
        <v>Watch</v>
      </c>
      <c r="C14" s="10" t="str">
        <f>IF('03 - HEALTH REVIEW'!D14="","",'03 - HEALTH REVIEW'!D14)</f>
        <v>Stable</v>
      </c>
      <c r="D14" s="10" t="str">
        <f>IF('03 - HEALTH REVIEW'!E14="","",'03 - HEALTH REVIEW'!E14)</f>
        <v>Medium</v>
      </c>
      <c r="E14" s="10" t="str">
        <f>IF('03 - HEALTH REVIEW'!K14="","",'03 - HEALTH REVIEW'!K14)</f>
        <v>On-call access unverified (24 Sep 2026)</v>
      </c>
      <c r="F14" s="10" t="str">
        <f>IF('03 - HEALTH REVIEW'!G14="","",'03 - HEALTH REVIEW'!G14)</f>
        <v>Rehearse operator access</v>
      </c>
      <c r="G14" s="10" t="str">
        <f>IF('03 - HEALTH REVIEW'!H14="","",'03 - HEALTH REVIEW'!H14)</f>
        <v>Service owner</v>
      </c>
      <c r="H14" s="12">
        <f>IF('03 - HEALTH REVIEW'!I14="","",'03 - HEALTH REVIEW'!I14)</f>
        <v>46293</v>
      </c>
      <c r="I14" s="10" t="str">
        <f>IF('03 - HEALTH REVIEW'!F14="","",'03 - HEALTH REVIEW'!F14)</f>
        <v/>
      </c>
      <c r="J14" s="10">
        <f>SUMIF('13 - DATA &amp; LISTS'!$Z$30:$Z$436,A14,'13 - DATA &amp; LISTS'!$AR$30:$AR$436)</f>
        <v>9</v>
      </c>
    </row>
    <row r="15" spans="1:10" ht="84" customHeight="1">
      <c r="A15" s="10" t="str">
        <f>IF('03 - HEALTH REVIEW'!B15="","",'03 - HEALTH REVIEW'!B15)</f>
        <v>Adoption</v>
      </c>
      <c r="B15" s="10" t="str">
        <f>IF('03 - HEALTH REVIEW'!C15="","",'03 - HEALTH REVIEW'!C15)</f>
        <v>Watch</v>
      </c>
      <c r="C15" s="10" t="str">
        <f>IF('03 - HEALTH REVIEW'!D15="","",'03 - HEALTH REVIEW'!D15)</f>
        <v>Unclear</v>
      </c>
      <c r="D15" s="10" t="str">
        <f>IF('03 - HEALTH REVIEW'!E15="","",'03 - HEALTH REVIEW'!E15)</f>
        <v>Low</v>
      </c>
      <c r="E15" s="10" t="str">
        <f>IF('03 - HEALTH REVIEW'!K15="","",'03 - HEALTH REVIEW'!K15)</f>
        <v>Eligible-user denominator missing (24 Sep 2026)</v>
      </c>
      <c r="F15" s="10" t="str">
        <f>IF('03 - HEALTH REVIEW'!G15="","",'03 - HEALTH REVIEW'!G15)</f>
        <v>Establish cohort</v>
      </c>
      <c r="G15" s="10" t="str">
        <f>IF('03 - HEALTH REVIEW'!H15="","",'03 - HEALTH REVIEW'!H15)</f>
        <v>Business owner</v>
      </c>
      <c r="H15" s="12">
        <f>IF('03 - HEALTH REVIEW'!I15="","",'03 - HEALTH REVIEW'!I15)</f>
        <v>46295</v>
      </c>
      <c r="I15" s="10" t="str">
        <f>IF('03 - HEALTH REVIEW'!F15="","",'03 - HEALTH REVIEW'!F15)</f>
        <v/>
      </c>
      <c r="J15" s="10">
        <f>SUMIF('13 - DATA &amp; LISTS'!$Z$30:$Z$436,A15,'13 - DATA &amp; LISTS'!$AR$30:$AR$436)</f>
        <v>1</v>
      </c>
    </row>
    <row r="16" spans="1:10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27" ht="33.950000000000003" customHeight="1">
      <c r="A17" s="21" t="s">
        <v>112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27" ht="33.950000000000003" customHeight="1">
      <c r="A18" s="5" t="s">
        <v>113</v>
      </c>
      <c r="B18" s="5" t="s">
        <v>114</v>
      </c>
      <c r="C18" s="5" t="s">
        <v>108</v>
      </c>
      <c r="D18" s="5" t="s">
        <v>109</v>
      </c>
      <c r="E18" s="5" t="s">
        <v>115</v>
      </c>
      <c r="F18" s="5" t="s">
        <v>107</v>
      </c>
      <c r="G18" s="1"/>
      <c r="H18" s="1"/>
      <c r="I18" s="1"/>
      <c r="J18" s="1"/>
    </row>
    <row r="19" spans="1:27" ht="63.95" customHeight="1">
      <c r="A19" s="10" t="str">
        <f>IF($AA19=0,"",INDEX('13 - DATA &amp; LISTS'!$AA$30:$AA$436,$AA19))</f>
        <v>H-03</v>
      </c>
      <c r="B19" s="10" t="str">
        <f>IF($AA19=0,"",INDEX('13 - DATA &amp; LISTS'!$AB$30:$AB$436,$AA19))</f>
        <v>DEP-07 missed two commitments</v>
      </c>
      <c r="C19" s="10" t="str">
        <f>IF($AA19=0,"",INDEX('13 - DATA &amp; LISTS'!$AE$30:$AE$436,$AA19))</f>
        <v>Network owner</v>
      </c>
      <c r="D19" s="12">
        <f>IF($AA19=0,"",INDEX('13 - DATA &amp; LISTS'!$AF$30:$AF$436,$AA19))</f>
        <v>46290</v>
      </c>
      <c r="E19" s="10" t="str">
        <f>IF($AA19=0,"",INDEX('13 - DATA &amp; LISTS'!$AG$30:$AG$436,$AA19))</f>
        <v>Release or outcome claim remains constrained</v>
      </c>
      <c r="F19" s="10" t="str">
        <f>IF($AA19=0,"",INDEX('13 - DATA &amp; LISTS'!$AD$30:$AD$436,$AA19))</f>
        <v>Agree alternative sequence</v>
      </c>
      <c r="G19" s="1"/>
      <c r="H19" s="1"/>
      <c r="I19" s="1"/>
      <c r="J19" s="1"/>
      <c r="AA19">
        <f>IF(COUNTIF('13 - DATA &amp; LISTS'!$AL$30:$AL$436,"&lt;999999999999")&lt;1,0,MATCH(SMALL('13 - DATA &amp; LISTS'!$AL$30:$AL$436,1),'13 - DATA &amp; LISTS'!$AL$30:$AL$436,0))</f>
        <v>3</v>
      </c>
    </row>
    <row r="20" spans="1:27" ht="63.95" customHeight="1">
      <c r="A20" s="10" t="str">
        <f>IF($AA20=0,"",INDEX('13 - DATA &amp; LISTS'!$AA$30:$AA$436,$AA20))</f>
        <v>H-04</v>
      </c>
      <c r="B20" s="10" t="str">
        <f>IF($AA20=0,"",INDEX('13 - DATA &amp; LISTS'!$AB$30:$AB$436,$AA20))</f>
        <v>D-014 actionable since 6 Sep</v>
      </c>
      <c r="C20" s="10" t="str">
        <f>IF($AA20=0,"",INDEX('13 - DATA &amp; LISTS'!$AE$30:$AE$436,$AA20))</f>
        <v>Sponsor</v>
      </c>
      <c r="D20" s="12">
        <f>IF($AA20=0,"",INDEX('13 - DATA &amp; LISTS'!$AF$30:$AF$436,$AA20))</f>
        <v>46290</v>
      </c>
      <c r="E20" s="10" t="str">
        <f>IF($AA20=0,"",INDEX('13 - DATA &amp; LISTS'!$AG$30:$AG$436,$AA20))</f>
        <v>Release or outcome claim remains constrained</v>
      </c>
      <c r="F20" s="10" t="str">
        <f>IF($AA20=0,"",INDEX('13 - DATA &amp; LISTS'!$AD$30:$AD$436,$AA20))</f>
        <v>Select release option</v>
      </c>
      <c r="G20" s="1"/>
      <c r="H20" s="1"/>
      <c r="I20" s="1"/>
      <c r="J20" s="1"/>
      <c r="AA20">
        <f>IF(COUNTIF('13 - DATA &amp; LISTS'!$AL$30:$AL$436,"&lt;999999999999")&lt;2,0,MATCH(SMALL('13 - DATA &amp; LISTS'!$AL$30:$AL$436,2),'13 - DATA &amp; LISTS'!$AL$30:$AL$436,0))</f>
        <v>4</v>
      </c>
    </row>
    <row r="21" spans="1:27" ht="63.95" customHeight="1">
      <c r="A21" s="10" t="str">
        <f>IF($AA21=0,"",INDEX('13 - DATA &amp; LISTS'!$AA$30:$AA$436,$AA21))</f>
        <v>D-014</v>
      </c>
      <c r="B21" s="10" t="str">
        <f>IF($AA21=0,"",INDEX('13 - DATA &amp; LISTS'!$AB$30:$AB$436,$AA21))</f>
        <v>Full release or smaller migration wave</v>
      </c>
      <c r="C21" s="10" t="str">
        <f>IF($AA21=0,"",INDEX('13 - DATA &amp; LISTS'!$AE$30:$AE$436,$AA21))</f>
        <v>Sponsor</v>
      </c>
      <c r="D21" s="12">
        <f>IF($AA21=0,"",INDEX('13 - DATA &amp; LISTS'!$AF$30:$AF$436,$AA21))</f>
        <v>46290</v>
      </c>
      <c r="E21" s="10" t="str">
        <f>IF($AA21=0,"",INDEX('13 - DATA &amp; LISTS'!$AG$30:$AG$436,$AA21))</f>
        <v>Cutover booking and supplier slot exposed</v>
      </c>
      <c r="F21" s="10" t="str">
        <f>IF($AA21=0,"",INDEX('13 - DATA &amp; LISTS'!$AD$30:$AD$436,$AA21))</f>
        <v>Escalate to named authority. Preserve original actionable date.</v>
      </c>
      <c r="G21" s="1"/>
      <c r="H21" s="1"/>
      <c r="I21" s="1"/>
      <c r="J21" s="1"/>
      <c r="AA21">
        <f>IF(COUNTIF('13 - DATA &amp; LISTS'!$AL$30:$AL$436,"&lt;999999999999")&lt;3,0,MATCH(SMALL('13 - DATA &amp; LISTS'!$AL$30:$AL$436,3),'13 - DATA &amp; LISTS'!$AL$30:$AL$436,0))</f>
        <v>8</v>
      </c>
    </row>
    <row r="22" spans="1:27" ht="63.95" customHeight="1">
      <c r="A22" s="10" t="str">
        <f>IF($AA22=0,"",INDEX('13 - DATA &amp; LISTS'!$AA$30:$AA$436,$AA22))</f>
        <v>DEP-07</v>
      </c>
      <c r="B22" s="10" t="str">
        <f>IF($AA22=0,"",INDEX('13 - DATA &amp; LISTS'!$AB$30:$AB$436,$AA22))</f>
        <v>Cloud pilot network connectivity</v>
      </c>
      <c r="C22" s="10" t="str">
        <f>IF($AA22=0,"",INDEX('13 - DATA &amp; LISTS'!$AE$30:$AE$436,$AA22))</f>
        <v>Network owner</v>
      </c>
      <c r="D22" s="12">
        <f>IF($AA22=0,"",INDEX('13 - DATA &amp; LISTS'!$AF$30:$AF$436,$AA22))</f>
        <v>46290</v>
      </c>
      <c r="E22" s="10" t="str">
        <f>IF($AA22=0,"",INDEX('13 - DATA &amp; LISTS'!$AG$30:$AG$436,$AA22))</f>
        <v>Pilot production path cannot be accepted</v>
      </c>
      <c r="F22" s="10" t="str">
        <f>IF($AA22=0,"",INDEX('13 - DATA &amp; LISTS'!$AD$30:$AD$436,$AA22))</f>
        <v>Review eliminate / decouple options before accepting another forecast.</v>
      </c>
      <c r="G22" s="1"/>
      <c r="H22" s="1"/>
      <c r="I22" s="1"/>
      <c r="J22" s="1"/>
      <c r="AA22">
        <f>IF(COUNTIF('13 - DATA &amp; LISTS'!$AL$30:$AL$436,"&lt;999999999999")&lt;4,0,MATCH(SMALL('13 - DATA &amp; LISTS'!$AL$30:$AL$436,4),'13 - DATA &amp; LISTS'!$AL$30:$AL$436,0))</f>
        <v>58</v>
      </c>
    </row>
    <row r="23" spans="1:27" ht="63.95" customHeight="1">
      <c r="A23" s="10" t="str">
        <f>IF($AA23=0,"",INDEX('13 - DATA &amp; LISTS'!$AA$30:$AA$436,$AA23))</f>
        <v>R-04</v>
      </c>
      <c r="B23" s="10" t="str">
        <f>IF($AA23=0,"",INDEX('13 - DATA &amp; LISTS'!$AB$30:$AB$436,$AA23))</f>
        <v>Access and on-call readiness</v>
      </c>
      <c r="C23" s="10" t="str">
        <f>IF($AA23=0,"",INDEX('13 - DATA &amp; LISTS'!$AE$30:$AE$436,$AA23))</f>
        <v>Access owner</v>
      </c>
      <c r="D23" s="12">
        <f>IF($AA23=0,"",INDEX('13 - DATA &amp; LISTS'!$AF$30:$AF$436,$AA23))</f>
        <v>46293</v>
      </c>
      <c r="E23" s="10" t="str">
        <f>IF($AA23=0,"",INDEX('13 - DATA &amp; LISTS'!$AG$30:$AG$436,$AA23))</f>
        <v>Operators cannot demonstrate privileged access</v>
      </c>
      <c r="F23" s="10" t="str">
        <f>IF($AA23=0,"",INDEX('13 - DATA &amp; LISTS'!$AD$30:$AD$436,$AA23))</f>
        <v>Hold release or obtain explicit authorised risk acceptance.</v>
      </c>
      <c r="G23" s="1"/>
      <c r="H23" s="1"/>
      <c r="I23" s="1"/>
      <c r="J23" s="1"/>
      <c r="AA23">
        <f>IF(COUNTIF('13 - DATA &amp; LISTS'!$AL$30:$AL$436,"&lt;999999999999")&lt;5,0,MATCH(SMALL('13 - DATA &amp; LISTS'!$AL$30:$AL$436,5),'13 - DATA &amp; LISTS'!$AL$30:$AL$436,0))</f>
        <v>211</v>
      </c>
    </row>
    <row r="24" spans="1:27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27" ht="33.950000000000003" customHeight="1">
      <c r="A25" s="21" t="s">
        <v>116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27" ht="33.950000000000003" customHeight="1">
      <c r="A26" s="5" t="s">
        <v>117</v>
      </c>
      <c r="B26" s="5" t="s">
        <v>118</v>
      </c>
      <c r="C26" s="5" t="s">
        <v>108</v>
      </c>
      <c r="D26" s="5" t="s">
        <v>119</v>
      </c>
      <c r="E26" s="5" t="s">
        <v>120</v>
      </c>
      <c r="F26" s="5" t="s">
        <v>121</v>
      </c>
      <c r="G26" s="1"/>
      <c r="H26" s="1"/>
      <c r="I26" s="1"/>
      <c r="J26" s="1"/>
    </row>
    <row r="27" spans="1:27" ht="63.95" customHeight="1">
      <c r="A27" s="10" t="str">
        <f>IF($AA27=0,"",INDEX('13 - DATA &amp; LISTS'!$AA$30:$AA$436,$AA27))</f>
        <v>D-014</v>
      </c>
      <c r="B27" s="10" t="str">
        <f>IF($AA27=0,"",INDEX('13 - DATA &amp; LISTS'!$AB$30:$AB$436,$AA27))</f>
        <v>Full release or smaller migration wave</v>
      </c>
      <c r="C27" s="10" t="str">
        <f>IF($AA27=0,"",INDEX('13 - DATA &amp; LISTS'!$AE$30:$AE$436,$AA27))</f>
        <v>Sponsor</v>
      </c>
      <c r="D27" s="12">
        <f>IF($AA27=0,"",INDEX('13 - DATA &amp; LISTS'!$AF$30:$AF$436,$AA27))</f>
        <v>46290</v>
      </c>
      <c r="E27" s="10" t="str">
        <f>IF($AA27=0,"",INDEX('13 - DATA &amp; LISTS'!$AG$30:$AG$436,$AA27))</f>
        <v>Cutover booking and supplier slot exposed</v>
      </c>
      <c r="F27" s="10" t="str">
        <f>IF($AA27=0,"",INDEX('13 - DATA &amp; LISTS'!$AH$30:$AH$436,$AA27))</f>
        <v>Accepted connectivity and representative recovery evidence</v>
      </c>
      <c r="G27" s="1"/>
      <c r="H27" s="1"/>
      <c r="I27" s="1"/>
      <c r="J27" s="1"/>
      <c r="AA27">
        <f>IF(COUNTIF('13 - DATA &amp; LISTS'!$AP$30:$AP$436,"&lt;999999999999")&lt;1,0,MATCH(SMALL('13 - DATA &amp; LISTS'!$AP$30:$AP$436,1),'13 - DATA &amp; LISTS'!$AP$30:$AP$436,0))</f>
        <v>8</v>
      </c>
    </row>
    <row r="28" spans="1:27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27" ht="33.950000000000003" customHeight="1">
      <c r="A29" s="21" t="s">
        <v>122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27" ht="33.950000000000003" customHeight="1">
      <c r="A30" s="5" t="s">
        <v>113</v>
      </c>
      <c r="B30" s="5" t="s">
        <v>123</v>
      </c>
      <c r="C30" s="5" t="s">
        <v>124</v>
      </c>
      <c r="D30" s="5" t="s">
        <v>107</v>
      </c>
      <c r="E30" s="5" t="s">
        <v>108</v>
      </c>
      <c r="F30" s="5" t="s">
        <v>109</v>
      </c>
      <c r="G30" s="1"/>
      <c r="H30" s="1"/>
      <c r="I30" s="1"/>
      <c r="J30" s="1"/>
    </row>
    <row r="31" spans="1:27" ht="63.95" customHeight="1">
      <c r="A31" s="10" t="str">
        <f>IF($AA31=0,"",INDEX('13 - DATA &amp; LISTS'!$AA$30:$AA$436,$AA31))</f>
        <v>H-05</v>
      </c>
      <c r="B31" s="10" t="str">
        <f>IF($AA31=0,"",INDEX('13 - DATA &amp; LISTS'!$AB$30:$AB$436,$AA31))</f>
        <v>Production-scale recovery not demonstrated</v>
      </c>
      <c r="C31" s="10" t="str">
        <f>IF($AA31=0,"",INDEX('13 - DATA &amp; LISTS'!$AC$30:$AC$436,$AA31))</f>
        <v xml:space="preserve">EVIDENCE GAP BEFORE COMMITMENT </v>
      </c>
      <c r="D31" s="10" t="str">
        <f>IF($AA31=0,"",INDEX('13 - DATA &amp; LISTS'!$AD$30:$AD$436,$AA31))</f>
        <v>Commission representative rehearsal</v>
      </c>
      <c r="E31" s="10" t="str">
        <f>IF($AA31=0,"",INDEX('13 - DATA &amp; LISTS'!$AE$30:$AE$436,$AA31))</f>
        <v>Assurance lead</v>
      </c>
      <c r="F31" s="12">
        <f>IF($AA31=0,"",INDEX('13 - DATA &amp; LISTS'!$AF$30:$AF$436,$AA31))</f>
        <v>46294</v>
      </c>
      <c r="G31" s="1"/>
      <c r="H31" s="1"/>
      <c r="I31" s="1"/>
      <c r="J31" s="1"/>
      <c r="AA31">
        <f>IF(COUNTIF('13 - DATA &amp; LISTS'!$AM$30:$AM$436,"&lt;999999999999")&lt;1,0,MATCH(SMALL('13 - DATA &amp; LISTS'!$AM$30:$AM$436,1),'13 - DATA &amp; LISTS'!$AM$30:$AM$436,0))</f>
        <v>5</v>
      </c>
    </row>
    <row r="32" spans="1:27" ht="63.95" customHeight="1">
      <c r="A32" s="10" t="str">
        <f>IF($AA32=0,"",INDEX('13 - DATA &amp; LISTS'!$AA$30:$AA$436,$AA32))</f>
        <v>CAP-01</v>
      </c>
      <c r="B32" s="10" t="str">
        <f>IF($AA32=0,"",INDEX('13 - DATA &amp; LISTS'!$AB$30:$AB$436,$AA32))</f>
        <v>Atlas pilot recovery / release candidate 3</v>
      </c>
      <c r="C32" s="10" t="str">
        <f>IF($AA32=0,"",INDEX('13 - DATA &amp; LISTS'!$AC$30:$AC$436,$AA32))</f>
        <v xml:space="preserve">REPRESENTATIVE CAPABILITY NOT VERIFIED </v>
      </c>
      <c r="D32" s="10" t="str">
        <f>IF($AA32=0,"",INDEX('13 - DATA &amp; LISTS'!$AD$30:$AD$436,$AA32))</f>
        <v>Commission targeted evidence before the commitment date.</v>
      </c>
      <c r="E32" s="10" t="str">
        <f>IF($AA32=0,"",INDEX('13 - DATA &amp; LISTS'!$AE$30:$AE$436,$AA32))</f>
        <v>Assurance lead</v>
      </c>
      <c r="F32" s="12">
        <f>IF($AA32=0,"",INDEX('13 - DATA &amp; LISTS'!$AF$30:$AF$436,$AA32))</f>
        <v>46294</v>
      </c>
      <c r="G32" s="1"/>
      <c r="H32" s="1"/>
      <c r="I32" s="1"/>
      <c r="J32" s="1"/>
      <c r="AA32">
        <f>IF(COUNTIF('13 - DATA &amp; LISTS'!$AM$30:$AM$436,"&lt;999999999999")&lt;2,0,MATCH(SMALL('13 - DATA &amp; LISTS'!$AM$30:$AM$436,2),'13 - DATA &amp; LISTS'!$AM$30:$AM$436,0))</f>
        <v>158</v>
      </c>
    </row>
    <row r="33" spans="1:27" ht="63.95" customHeight="1">
      <c r="A33" s="10" t="str">
        <f>IF($AA33=0,"",INDEX('13 - DATA &amp; LISTS'!$AA$30:$AA$436,$AA33))</f>
        <v>B-01</v>
      </c>
      <c r="B33" s="10" t="str">
        <f>IF($AA33=0,"",INDEX('13 - DATA &amp; LISTS'!$AB$30:$AB$436,$AA33))</f>
        <v>Reduce manual recovery coordination</v>
      </c>
      <c r="C33" s="10" t="str">
        <f>IF($AA33=0,"",INDEX('13 - DATA &amp; LISTS'!$AC$30:$AC$436,$AA33))</f>
        <v xml:space="preserve">DENOMINATOR MISSING OR ZERO NO BASELINE HANDOVER NOT RECORDED </v>
      </c>
      <c r="D33" s="10" t="str">
        <f>IF($AA33=0,"",INDEX('13 - DATA &amp; LISTS'!$AD$30:$AD$436,$AA33))</f>
        <v>Define eligible cohort before reporting adoption percentage.</v>
      </c>
      <c r="E33" s="10" t="str">
        <f>IF($AA33=0,"",INDEX('13 - DATA &amp; LISTS'!$AE$30:$AE$436,$AA33))</f>
        <v>Service owner</v>
      </c>
      <c r="F33" s="12">
        <f>IF($AA33=0,"",INDEX('13 - DATA &amp; LISTS'!$AF$30:$AF$436,$AA33))</f>
        <v>46294</v>
      </c>
      <c r="G33" s="1"/>
      <c r="H33" s="1"/>
      <c r="I33" s="1"/>
      <c r="J33" s="1"/>
      <c r="AA33">
        <f>IF(COUNTIF('13 - DATA &amp; LISTS'!$AM$30:$AM$436,"&lt;999999999999")&lt;3,0,MATCH(SMALL('13 - DATA &amp; LISTS'!$AM$30:$AM$436,3),'13 - DATA &amp; LISTS'!$AM$30:$AM$436,0))</f>
        <v>258</v>
      </c>
    </row>
    <row r="34" spans="1:27" ht="63.95" customHeight="1">
      <c r="A34" s="10" t="str">
        <f>IF($AA34=0,"",INDEX('13 - DATA &amp; LISTS'!$AA$30:$AA$436,$AA34))</f>
        <v>H-07</v>
      </c>
      <c r="B34" s="10" t="str">
        <f>IF($AA34=0,"",INDEX('13 - DATA &amp; LISTS'!$AB$30:$AB$436,$AA34))</f>
        <v>Eligible-user denominator missing</v>
      </c>
      <c r="C34" s="10" t="str">
        <f>IF($AA34=0,"",INDEX('13 - DATA &amp; LISTS'!$AC$30:$AC$436,$AA34))</f>
        <v/>
      </c>
      <c r="D34" s="10" t="str">
        <f>IF($AA34=0,"",INDEX('13 - DATA &amp; LISTS'!$AD$30:$AD$436,$AA34))</f>
        <v>Establish cohort</v>
      </c>
      <c r="E34" s="10" t="str">
        <f>IF($AA34=0,"",INDEX('13 - DATA &amp; LISTS'!$AE$30:$AE$436,$AA34))</f>
        <v>Business owner</v>
      </c>
      <c r="F34" s="12">
        <f>IF($AA34=0,"",INDEX('13 - DATA &amp; LISTS'!$AF$30:$AF$436,$AA34))</f>
        <v>46295</v>
      </c>
      <c r="G34" s="1"/>
      <c r="H34" s="1"/>
      <c r="I34" s="1"/>
      <c r="J34" s="1"/>
      <c r="AA34">
        <f>IF(COUNTIF('13 - DATA &amp; LISTS'!$AM$30:$AM$436,"&lt;999999999999")&lt;4,0,MATCH(SMALL('13 - DATA &amp; LISTS'!$AM$30:$AM$436,4),'13 - DATA &amp; LISTS'!$AM$30:$AM$436,0))</f>
        <v>7</v>
      </c>
    </row>
    <row r="35" spans="1:27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27" ht="33.950000000000003" customHeight="1">
      <c r="A36" s="21" t="s">
        <v>125</v>
      </c>
      <c r="B36" s="21"/>
      <c r="C36" s="21"/>
      <c r="D36" s="21"/>
      <c r="E36" s="21"/>
      <c r="F36" s="21"/>
      <c r="G36" s="21"/>
      <c r="H36" s="21"/>
      <c r="I36" s="21"/>
      <c r="J36" s="21"/>
    </row>
    <row r="37" spans="1:27" ht="33.950000000000003" customHeight="1">
      <c r="A37" s="5" t="s">
        <v>113</v>
      </c>
      <c r="B37" s="5" t="s">
        <v>126</v>
      </c>
      <c r="C37" s="5" t="s">
        <v>127</v>
      </c>
      <c r="D37" s="5" t="s">
        <v>107</v>
      </c>
      <c r="E37" s="5" t="s">
        <v>108</v>
      </c>
      <c r="F37" s="5" t="s">
        <v>109</v>
      </c>
      <c r="G37" s="1"/>
      <c r="H37" s="1"/>
      <c r="I37" s="1"/>
      <c r="J37" s="1"/>
    </row>
    <row r="38" spans="1:27" ht="63.95" customHeight="1">
      <c r="A38" s="10" t="str">
        <f>IF($AA38=0,"",INDEX('13 - DATA &amp; LISTS'!$AA$30:$AA$436,$AA38))</f>
        <v>R-04</v>
      </c>
      <c r="B38" s="10" t="str">
        <f>IF($AA38=0,"",INDEX('13 - DATA &amp; LISTS'!$AB$30:$AB$436,$AA38))</f>
        <v>Access and on-call readiness</v>
      </c>
      <c r="C38" s="10" t="str">
        <f>IF($AA38=0,"",INDEX('13 - DATA &amp; LISTS'!$AC$30:$AC$436,$AA38))</f>
        <v xml:space="preserve">RELEASE BLOCKER LINKED DEPENDENCY UNRESOLVED </v>
      </c>
      <c r="D38" s="10" t="str">
        <f>IF($AA38=0,"",INDEX('13 - DATA &amp; LISTS'!$AD$30:$AD$436,$AA38))</f>
        <v>Hold release or obtain explicit authorised risk acceptance.</v>
      </c>
      <c r="E38" s="10" t="str">
        <f>IF($AA38=0,"",INDEX('13 - DATA &amp; LISTS'!$AE$30:$AE$436,$AA38))</f>
        <v>Access owner</v>
      </c>
      <c r="F38" s="12">
        <f>IF($AA38=0,"",INDEX('13 - DATA &amp; LISTS'!$AF$30:$AF$436,$AA38))</f>
        <v>46293</v>
      </c>
      <c r="G38" s="1"/>
      <c r="H38" s="1"/>
      <c r="I38" s="1"/>
      <c r="J38" s="1"/>
      <c r="AA38">
        <f>IF(COUNTIF('13 - DATA &amp; LISTS'!$AN$30:$AN$436,"&lt;999999999999")&lt;1,0,MATCH(SMALL('13 - DATA &amp; LISTS'!$AN$30:$AN$436,1),'13 - DATA &amp; LISTS'!$AN$30:$AN$436,0))</f>
        <v>211</v>
      </c>
    </row>
    <row r="39" spans="1:27" ht="63.95" customHeight="1">
      <c r="A39" s="10" t="str">
        <f>IF($AA39=0,"",INDEX('13 - DATA &amp; LISTS'!$AA$30:$AA$436,$AA39))</f>
        <v>R-05</v>
      </c>
      <c r="B39" s="10" t="str">
        <f>IF($AA39=0,"",INDEX('13 - DATA &amp; LISTS'!$AB$30:$AB$436,$AA39))</f>
        <v>Recovery and data integrity</v>
      </c>
      <c r="C39" s="10" t="str">
        <f>IF($AA39=0,"",INDEX('13 - DATA &amp; LISTS'!$AC$30:$AC$436,$AA39))</f>
        <v xml:space="preserve">RELEASE BLOCKER READINESS UNKNOWN LINKED DEPENDENCY UNRESOLVED </v>
      </c>
      <c r="D39" s="10" t="str">
        <f>IF($AA39=0,"",INDEX('13 - DATA &amp; LISTS'!$AD$30:$AD$436,$AA39))</f>
        <v>Hold release or obtain explicit authorised risk acceptance.</v>
      </c>
      <c r="E39" s="10" t="str">
        <f>IF($AA39=0,"",INDEX('13 - DATA &amp; LISTS'!$AE$30:$AE$436,$AA39))</f>
        <v>Assurance lead</v>
      </c>
      <c r="F39" s="12">
        <f>IF($AA39=0,"",INDEX('13 - DATA &amp; LISTS'!$AF$30:$AF$436,$AA39))</f>
        <v>46294</v>
      </c>
      <c r="G39" s="1"/>
      <c r="H39" s="1"/>
      <c r="I39" s="1"/>
      <c r="J39" s="1"/>
      <c r="AA39">
        <f>IF(COUNTIF('13 - DATA &amp; LISTS'!$AN$30:$AN$436,"&lt;999999999999")&lt;2,0,MATCH(SMALL('13 - DATA &amp; LISTS'!$AN$30:$AN$436,2),'13 - DATA &amp; LISTS'!$AN$30:$AN$436,0))</f>
        <v>212</v>
      </c>
    </row>
    <row r="40" spans="1:27" ht="63.95" customHeight="1">
      <c r="A40" s="10" t="str">
        <f>IF($AA40=0,"",INDEX('13 - DATA &amp; LISTS'!$AA$30:$AA$436,$AA40))</f>
        <v>R-11</v>
      </c>
      <c r="B40" s="10" t="str">
        <f>IF($AA40=0,"",INDEX('13 - DATA &amp; LISTS'!$AB$30:$AB$436,$AA40))</f>
        <v>Cutover</v>
      </c>
      <c r="C40" s="10" t="str">
        <f>IF($AA40=0,"",INDEX('13 - DATA &amp; LISTS'!$AC$30:$AC$436,$AA40))</f>
        <v xml:space="preserve">RELEASE BLOCKER READINESS UNKNOWN </v>
      </c>
      <c r="D40" s="10" t="str">
        <f>IF($AA40=0,"",INDEX('13 - DATA &amp; LISTS'!$AD$30:$AD$436,$AA40))</f>
        <v>Hold release or obtain explicit authorised risk acceptance.</v>
      </c>
      <c r="E40" s="10" t="str">
        <f>IF($AA40=0,"",INDEX('13 - DATA &amp; LISTS'!$AE$30:$AE$436,$AA40))</f>
        <v>Service owner</v>
      </c>
      <c r="F40" s="12">
        <f>IF($AA40=0,"",INDEX('13 - DATA &amp; LISTS'!$AF$30:$AF$436,$AA40))</f>
        <v>46294</v>
      </c>
      <c r="G40" s="1"/>
      <c r="H40" s="1"/>
      <c r="I40" s="1"/>
      <c r="J40" s="1"/>
      <c r="AA40">
        <f>IF(COUNTIF('13 - DATA &amp; LISTS'!$AN$30:$AN$436,"&lt;999999999999")&lt;3,0,MATCH(SMALL('13 - DATA &amp; LISTS'!$AN$30:$AN$436,3),'13 - DATA &amp; LISTS'!$AN$30:$AN$436,0))</f>
        <v>218</v>
      </c>
    </row>
    <row r="41" spans="1:27" ht="63.95" customHeight="1">
      <c r="A41" s="10" t="str">
        <f>IF($AA41=0,"",INDEX('13 - DATA &amp; LISTS'!$AA$30:$AA$436,$AA41))</f>
        <v>R-12</v>
      </c>
      <c r="B41" s="10" t="str">
        <f>IF($AA41=0,"",INDEX('13 - DATA &amp; LISTS'!$AB$30:$AB$436,$AA41))</f>
        <v>Rollback</v>
      </c>
      <c r="C41" s="10" t="str">
        <f>IF($AA41=0,"",INDEX('13 - DATA &amp; LISTS'!$AC$30:$AC$436,$AA41))</f>
        <v xml:space="preserve">RELEASE BLOCKER READINESS UNKNOWN </v>
      </c>
      <c r="D41" s="10" t="str">
        <f>IF($AA41=0,"",INDEX('13 - DATA &amp; LISTS'!$AD$30:$AD$436,$AA41))</f>
        <v>Hold release or obtain explicit authorised risk acceptance.</v>
      </c>
      <c r="E41" s="10" t="str">
        <f>IF($AA41=0,"",INDEX('13 - DATA &amp; LISTS'!$AE$30:$AE$436,$AA41))</f>
        <v>Service owner</v>
      </c>
      <c r="F41" s="12">
        <f>IF($AA41=0,"",INDEX('13 - DATA &amp; LISTS'!$AF$30:$AF$436,$AA41))</f>
        <v>46294</v>
      </c>
      <c r="G41" s="1"/>
      <c r="H41" s="1"/>
      <c r="I41" s="1"/>
      <c r="J41" s="1"/>
      <c r="AA41">
        <f>IF(COUNTIF('13 - DATA &amp; LISTS'!$AN$30:$AN$436,"&lt;999999999999")&lt;4,0,MATCH(SMALL('13 - DATA &amp; LISTS'!$AN$30:$AN$436,4),'13 - DATA &amp; LISTS'!$AN$30:$AN$436,0))</f>
        <v>219</v>
      </c>
    </row>
    <row r="42" spans="1:27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27" ht="33.950000000000003" customHeight="1">
      <c r="A43" s="21" t="s">
        <v>128</v>
      </c>
      <c r="B43" s="21"/>
      <c r="C43" s="21"/>
      <c r="D43" s="21"/>
      <c r="E43" s="21"/>
      <c r="F43" s="21"/>
      <c r="G43" s="21"/>
      <c r="H43" s="21"/>
      <c r="I43" s="21"/>
      <c r="J43" s="21"/>
    </row>
    <row r="44" spans="1:27" ht="33.950000000000003" customHeight="1">
      <c r="A44" s="5" t="s">
        <v>113</v>
      </c>
      <c r="B44" s="5" t="s">
        <v>114</v>
      </c>
      <c r="C44" s="5" t="s">
        <v>108</v>
      </c>
      <c r="D44" s="5" t="s">
        <v>119</v>
      </c>
      <c r="E44" s="5" t="s">
        <v>115</v>
      </c>
      <c r="F44" s="5" t="s">
        <v>107</v>
      </c>
      <c r="G44" s="1"/>
      <c r="H44" s="1"/>
      <c r="I44" s="1"/>
      <c r="J44" s="1"/>
    </row>
    <row r="45" spans="1:27" ht="63.95" customHeight="1">
      <c r="A45" s="10" t="str">
        <f>IF($AA45=0,"",INDEX('13 - DATA &amp; LISTS'!$AA$30:$AA$436,$AA45))</f>
        <v>H-02</v>
      </c>
      <c r="B45" s="10" t="str">
        <f>IF($AA45=0,"",INDEX('13 - DATA &amp; LISTS'!$AB$30:$AB$436,$AA45))</f>
        <v>Acceptance queue growing across reviews</v>
      </c>
      <c r="C45" s="10" t="str">
        <f>IF($AA45=0,"",INDEX('13 - DATA &amp; LISTS'!$AE$30:$AE$436,$AA45))</f>
        <v>Delivery lead</v>
      </c>
      <c r="D45" s="12">
        <f>IF($AA45=0,"",INDEX('13 - DATA &amp; LISTS'!$AF$30:$AF$436,$AA45))</f>
        <v>46290</v>
      </c>
      <c r="E45" s="10" t="str">
        <f>IF($AA45=0,"",INDEX('13 - DATA &amp; LISTS'!$AG$30:$AG$436,$AA45))</f>
        <v>Release or outcome claim remains constrained</v>
      </c>
      <c r="F45" s="10" t="str">
        <f>IF($AA45=0,"",INDEX('13 - DATA &amp; LISTS'!$AD$30:$AD$436,$AA45))</f>
        <v>Limit new starts</v>
      </c>
      <c r="G45" s="1"/>
      <c r="H45" s="1"/>
      <c r="I45" s="1"/>
      <c r="J45" s="1"/>
      <c r="AA45">
        <f>IF(COUNTIF('13 - DATA &amp; LISTS'!$AO$30:$AO$436,"&lt;999999999999")&lt;1,0,MATCH(SMALL('13 - DATA &amp; LISTS'!$AO$30:$AO$436,1),'13 - DATA &amp; LISTS'!$AO$30:$AO$436,0))</f>
        <v>2</v>
      </c>
    </row>
    <row r="46" spans="1:27" ht="63.95" customHeight="1">
      <c r="A46" s="10" t="str">
        <f>IF($AA46=0,"",INDEX('13 - DATA &amp; LISTS'!$AA$30:$AA$436,$AA46))</f>
        <v>H-03</v>
      </c>
      <c r="B46" s="10" t="str">
        <f>IF($AA46=0,"",INDEX('13 - DATA &amp; LISTS'!$AB$30:$AB$436,$AA46))</f>
        <v>DEP-07 missed two commitments</v>
      </c>
      <c r="C46" s="10" t="str">
        <f>IF($AA46=0,"",INDEX('13 - DATA &amp; LISTS'!$AE$30:$AE$436,$AA46))</f>
        <v>Network owner</v>
      </c>
      <c r="D46" s="12">
        <f>IF($AA46=0,"",INDEX('13 - DATA &amp; LISTS'!$AF$30:$AF$436,$AA46))</f>
        <v>46290</v>
      </c>
      <c r="E46" s="10" t="str">
        <f>IF($AA46=0,"",INDEX('13 - DATA &amp; LISTS'!$AG$30:$AG$436,$AA46))</f>
        <v>Release or outcome claim remains constrained</v>
      </c>
      <c r="F46" s="10" t="str">
        <f>IF($AA46=0,"",INDEX('13 - DATA &amp; LISTS'!$AD$30:$AD$436,$AA46))</f>
        <v>Agree alternative sequence</v>
      </c>
      <c r="G46" s="1"/>
      <c r="H46" s="1"/>
      <c r="I46" s="1"/>
      <c r="J46" s="1"/>
      <c r="AA46">
        <f>IF(COUNTIF('13 - DATA &amp; LISTS'!$AO$30:$AO$436,"&lt;999999999999")&lt;2,0,MATCH(SMALL('13 - DATA &amp; LISTS'!$AO$30:$AO$436,2),'13 - DATA &amp; LISTS'!$AO$30:$AO$436,0))</f>
        <v>3</v>
      </c>
    </row>
    <row r="47" spans="1:27" ht="63.95" customHeight="1">
      <c r="A47" s="10" t="str">
        <f>IF($AA47=0,"",INDEX('13 - DATA &amp; LISTS'!$AA$30:$AA$436,$AA47))</f>
        <v>H-04</v>
      </c>
      <c r="B47" s="10" t="str">
        <f>IF($AA47=0,"",INDEX('13 - DATA &amp; LISTS'!$AB$30:$AB$436,$AA47))</f>
        <v>D-014 actionable since 6 Sep</v>
      </c>
      <c r="C47" s="10" t="str">
        <f>IF($AA47=0,"",INDEX('13 - DATA &amp; LISTS'!$AE$30:$AE$436,$AA47))</f>
        <v>Sponsor</v>
      </c>
      <c r="D47" s="12">
        <f>IF($AA47=0,"",INDEX('13 - DATA &amp; LISTS'!$AF$30:$AF$436,$AA47))</f>
        <v>46290</v>
      </c>
      <c r="E47" s="10" t="str">
        <f>IF($AA47=0,"",INDEX('13 - DATA &amp; LISTS'!$AG$30:$AG$436,$AA47))</f>
        <v>Release or outcome claim remains constrained</v>
      </c>
      <c r="F47" s="10" t="str">
        <f>IF($AA47=0,"",INDEX('13 - DATA &amp; LISTS'!$AD$30:$AD$436,$AA47))</f>
        <v>Select release option</v>
      </c>
      <c r="G47" s="1"/>
      <c r="H47" s="1"/>
      <c r="I47" s="1"/>
      <c r="J47" s="1"/>
      <c r="AA47">
        <f>IF(COUNTIF('13 - DATA &amp; LISTS'!$AO$30:$AO$436,"&lt;999999999999")&lt;3,0,MATCH(SMALL('13 - DATA &amp; LISTS'!$AO$30:$AO$436,3),'13 - DATA &amp; LISTS'!$AO$30:$AO$436,0))</f>
        <v>4</v>
      </c>
    </row>
    <row r="48" spans="1:27" ht="63.95" customHeight="1">
      <c r="A48" s="10" t="str">
        <f>IF($AA48=0,"",INDEX('13 - DATA &amp; LISTS'!$AA$30:$AA$436,$AA48))</f>
        <v>D-014</v>
      </c>
      <c r="B48" s="10" t="str">
        <f>IF($AA48=0,"",INDEX('13 - DATA &amp; LISTS'!$AB$30:$AB$436,$AA48))</f>
        <v>Full release or smaller migration wave</v>
      </c>
      <c r="C48" s="10" t="str">
        <f>IF($AA48=0,"",INDEX('13 - DATA &amp; LISTS'!$AE$30:$AE$436,$AA48))</f>
        <v>Sponsor</v>
      </c>
      <c r="D48" s="12">
        <f>IF($AA48=0,"",INDEX('13 - DATA &amp; LISTS'!$AF$30:$AF$436,$AA48))</f>
        <v>46290</v>
      </c>
      <c r="E48" s="10" t="str">
        <f>IF($AA48=0,"",INDEX('13 - DATA &amp; LISTS'!$AG$30:$AG$436,$AA48))</f>
        <v>Cutover booking and supplier slot exposed</v>
      </c>
      <c r="F48" s="10" t="str">
        <f>IF($AA48=0,"",INDEX('13 - DATA &amp; LISTS'!$AD$30:$AD$436,$AA48))</f>
        <v>Escalate to named authority. Preserve original actionable date.</v>
      </c>
      <c r="G48" s="1"/>
      <c r="H48" s="1"/>
      <c r="I48" s="1"/>
      <c r="J48" s="1"/>
      <c r="AA48">
        <f>IF(COUNTIF('13 - DATA &amp; LISTS'!$AO$30:$AO$436,"&lt;999999999999")&lt;4,0,MATCH(SMALL('13 - DATA &amp; LISTS'!$AO$30:$AO$436,4),'13 - DATA &amp; LISTS'!$AO$30:$AO$436,0))</f>
        <v>8</v>
      </c>
    </row>
    <row r="49" spans="1:27" ht="63.95" customHeight="1">
      <c r="A49" s="10" t="str">
        <f>IF($AA49=0,"",INDEX('13 - DATA &amp; LISTS'!$AA$30:$AA$436,$AA49))</f>
        <v>DEP-07</v>
      </c>
      <c r="B49" s="10" t="str">
        <f>IF($AA49=0,"",INDEX('13 - DATA &amp; LISTS'!$AB$30:$AB$436,$AA49))</f>
        <v>Cloud pilot network connectivity</v>
      </c>
      <c r="C49" s="10" t="str">
        <f>IF($AA49=0,"",INDEX('13 - DATA &amp; LISTS'!$AE$30:$AE$436,$AA49))</f>
        <v>Network owner</v>
      </c>
      <c r="D49" s="12">
        <f>IF($AA49=0,"",INDEX('13 - DATA &amp; LISTS'!$AF$30:$AF$436,$AA49))</f>
        <v>46290</v>
      </c>
      <c r="E49" s="10" t="str">
        <f>IF($AA49=0,"",INDEX('13 - DATA &amp; LISTS'!$AG$30:$AG$436,$AA49))</f>
        <v>Pilot production path cannot be accepted</v>
      </c>
      <c r="F49" s="10" t="str">
        <f>IF($AA49=0,"",INDEX('13 - DATA &amp; LISTS'!$AD$30:$AD$436,$AA49))</f>
        <v>Review eliminate / decouple options before accepting another forecast.</v>
      </c>
      <c r="G49" s="1"/>
      <c r="H49" s="1"/>
      <c r="I49" s="1"/>
      <c r="J49" s="1"/>
      <c r="AA49">
        <f>IF(COUNTIF('13 - DATA &amp; LISTS'!$AO$30:$AO$436,"&lt;999999999999")&lt;5,0,MATCH(SMALL('13 - DATA &amp; LISTS'!$AO$30:$AO$436,5),'13 - DATA &amp; LISTS'!$AO$30:$AO$436,0))</f>
        <v>58</v>
      </c>
    </row>
    <row r="50" spans="1:27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27" ht="24" customHeight="1">
      <c r="A51" s="1" t="str">
        <f>"All action records: "&amp;COUNTIF('13 - DATA &amp; LISTS'!$AK$30:$AK$436,"&lt;999999999999")&amp;". Critical: "&amp;COUNTIF('13 - DATA &amp; LISTS'!$AL$30:$AL$436,"&lt;999999999999")&amp;". Readiness blockers: "&amp;COUNTIF('13 - DATA &amp; LISTS'!$AN$30:$AN$436,"&lt;999999999999")</f>
        <v>All action records: 22. Critical: 10. Readiness blockers: 4</v>
      </c>
      <c r="B51" s="1"/>
      <c r="C51" s="1"/>
      <c r="D51" s="1"/>
      <c r="E51" s="1"/>
      <c r="F51" s="1"/>
      <c r="G51" s="1"/>
      <c r="H51" s="1"/>
      <c r="I51" s="1"/>
      <c r="J51" s="1"/>
    </row>
    <row r="52" spans="1:27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27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27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27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27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27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27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27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27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27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7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7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27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</sheetData>
  <mergeCells count="6">
    <mergeCell ref="A43:J43"/>
    <mergeCell ref="A4:J4"/>
    <mergeCell ref="A17:J17"/>
    <mergeCell ref="A25:J25"/>
    <mergeCell ref="A29:J29"/>
    <mergeCell ref="A36:J36"/>
  </mergeCells>
  <conditionalFormatting sqref="B9:B15">
    <cfRule type="containsText" dxfId="19" priority="1" operator="containsText" text="Intervention required"/>
  </conditionalFormatting>
  <hyperlinks>
    <hyperlink ref="A6" location="'00 - START HERE'!A1" display="Start here" xr:uid="{00000000-0004-0000-0200-000000000000}"/>
  </hyperlinks>
  <pageMargins left="0.25" right="0.25" top="0.4" bottom="0.4" header="0.2" footer="0.2"/>
  <pageSetup paperSize="8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87C78"/>
  </sheetPr>
  <dimension ref="A1:Q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5" width="20" customWidth="1"/>
    <col min="6" max="6" width="42" customWidth="1"/>
    <col min="7" max="9" width="20" customWidth="1"/>
    <col min="10" max="10" width="32" customWidth="1"/>
    <col min="11" max="12" width="20" customWidth="1"/>
    <col min="13" max="15" width="32" customWidth="1"/>
    <col min="16" max="16" width="20" customWidth="1"/>
    <col min="17" max="17" width="32" customWidth="1"/>
  </cols>
  <sheetData>
    <row r="1" spans="1:17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2.1" customHeight="1">
      <c r="A2" s="2" t="s">
        <v>129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3.950000000000003" customHeight="1">
      <c r="A4" s="21" t="s">
        <v>130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</row>
    <row r="5" spans="1:17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"&amp;SUMPRODUCT(--('03 - HEALTH REVIEW'!$A$9:$A$58=""),--('03 - HEALTH REVIEW'!$B$9:$B$58&lt;&gt;""))</f>
        <v>Rows missing an ID: 0</v>
      </c>
      <c r="L6" s="1"/>
      <c r="M6" s="1"/>
      <c r="N6" s="1"/>
      <c r="O6" s="1"/>
      <c r="P6" s="1"/>
      <c r="Q6" s="1"/>
    </row>
    <row r="7" spans="1:17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3.950000000000003" customHeight="1">
      <c r="A8" s="5" t="s">
        <v>131</v>
      </c>
      <c r="B8" s="5" t="s">
        <v>6</v>
      </c>
      <c r="C8" s="5" t="s">
        <v>103</v>
      </c>
      <c r="D8" s="5" t="s">
        <v>104</v>
      </c>
      <c r="E8" s="5" t="s">
        <v>105</v>
      </c>
      <c r="F8" s="5" t="s">
        <v>132</v>
      </c>
      <c r="G8" s="5" t="s">
        <v>133</v>
      </c>
      <c r="H8" s="5" t="s">
        <v>108</v>
      </c>
      <c r="I8" s="5" t="s">
        <v>109</v>
      </c>
      <c r="J8" s="5" t="s">
        <v>134</v>
      </c>
      <c r="K8" s="5" t="s">
        <v>135</v>
      </c>
      <c r="L8" s="5" t="s">
        <v>136</v>
      </c>
      <c r="M8" s="5" t="s">
        <v>115</v>
      </c>
      <c r="N8" s="5" t="s">
        <v>137</v>
      </c>
      <c r="O8" s="5" t="s">
        <v>138</v>
      </c>
      <c r="P8" s="5" t="s">
        <v>139</v>
      </c>
      <c r="Q8" s="5" t="s">
        <v>140</v>
      </c>
    </row>
    <row r="9" spans="1:17" ht="39.6" customHeight="1">
      <c r="A9" s="8" t="s">
        <v>141</v>
      </c>
      <c r="B9" s="8" t="s">
        <v>8</v>
      </c>
      <c r="C9" s="8" t="s">
        <v>142</v>
      </c>
      <c r="D9" s="8" t="s">
        <v>143</v>
      </c>
      <c r="E9" s="8" t="s">
        <v>144</v>
      </c>
      <c r="F9" s="20" t="str">
        <f>IF(A9="","",IF(COUNTIF('03 - HEALTH REVIEW'!$A$9:$A$58,A9)&gt;1,"DUPLICATE ID ","")&amp;IF(ReviewDate="","SET REVIEW DATE ","")&amp;IF(C9="Intervention required","INTERVENTION REQUIRED ","")&amp;IF(C9="","CONDITION MISSING ","")&amp;IF(E9="","CONFIDENCE MISSING ","")&amp;IF(AND(C9="Within tolerance",E9="Low"),"LOW-EVIDENCE HEALTH CLAIM ","")&amp;IF(AND(D9="Deteriorating",G9=""),"ACTION REQUIRED ","")&amp;IF(AND(C9="Intervention required",ISNUMBER(I9),I9&lt;ReviewDate),"ESCALATION TRIGGERED ","")&amp;IF(AND(OR(C9="Unknown",C9=""),ISNUMBER(Commitment),Commitment&lt;=ReviewDate+Horizon),"EVIDENCE GAP BEFORE COMMITMENT ","")&amp;IF(AND(G9&lt;&gt;"",OR(H9="",I9="")),"ACTION OWNER OR DATE MISSING ",""))</f>
        <v/>
      </c>
      <c r="G9" s="8" t="s">
        <v>145</v>
      </c>
      <c r="H9" s="8" t="s">
        <v>61</v>
      </c>
      <c r="I9" s="9">
        <v>46293</v>
      </c>
      <c r="J9" s="8" t="s">
        <v>146</v>
      </c>
      <c r="K9" s="9" t="s">
        <v>147</v>
      </c>
      <c r="L9" s="8" t="s">
        <v>146</v>
      </c>
      <c r="M9" s="8" t="s">
        <v>148</v>
      </c>
      <c r="N9" s="8" t="s">
        <v>149</v>
      </c>
      <c r="O9" s="8"/>
      <c r="P9" s="11" t="str">
        <f t="shared" ref="P9:P40" si="0">IF(A9="","",IF(OR(C9="Intervention required",AND(C9="Unknown",ISNUMBER(Commitment),Commitment&lt;=ReviewDate+Horizon)),"Critical",IF(F9&lt;&gt;"","Review","Routine")))</f>
        <v>Routine</v>
      </c>
      <c r="Q9" s="11" t="str">
        <f t="shared" ref="Q9:Q40" si="1">IF(A9="","",IF(G9&lt;&gt;"",G9,IF(F9&lt;&gt;"","Agree an intervention, evidence, owner and date.","")))</f>
        <v>Validate remaining cost</v>
      </c>
    </row>
    <row r="10" spans="1:17" ht="39.6" customHeight="1">
      <c r="A10" s="8" t="s">
        <v>150</v>
      </c>
      <c r="B10" s="8" t="s">
        <v>10</v>
      </c>
      <c r="C10" s="8" t="s">
        <v>151</v>
      </c>
      <c r="D10" s="8" t="s">
        <v>152</v>
      </c>
      <c r="E10" s="8" t="s">
        <v>153</v>
      </c>
      <c r="F10" s="20" t="str">
        <f>IF(A10="","",IF(COUNTIF('03 - HEALTH REVIEW'!$A$9:$A$58,A10)&gt;1,"DUPLICATE ID ","")&amp;IF(ReviewDate="","SET REVIEW DATE ","")&amp;IF(C10="Intervention required","INTERVENTION REQUIRED ","")&amp;IF(C10="","CONDITION MISSING ","")&amp;IF(E10="","CONFIDENCE MISSING ","")&amp;IF(AND(C10="Within tolerance",E10="Low"),"LOW-EVIDENCE HEALTH CLAIM ","")&amp;IF(AND(D10="Deteriorating",G10=""),"ACTION REQUIRED ","")&amp;IF(AND(C10="Intervention required",ISNUMBER(I10),I10&lt;ReviewDate),"ESCALATION TRIGGERED ","")&amp;IF(AND(OR(C10="Unknown",C10=""),ISNUMBER(Commitment),Commitment&lt;=ReviewDate+Horizon),"EVIDENCE GAP BEFORE COMMITMENT ","")&amp;IF(AND(G10&lt;&gt;"",OR(H10="",I10="")),"ACTION OWNER OR DATE MISSING ",""))</f>
        <v/>
      </c>
      <c r="G10" s="8" t="s">
        <v>154</v>
      </c>
      <c r="H10" s="8" t="s">
        <v>155</v>
      </c>
      <c r="I10" s="9">
        <v>46290</v>
      </c>
      <c r="J10" s="8" t="s">
        <v>156</v>
      </c>
      <c r="K10" s="9" t="s">
        <v>157</v>
      </c>
      <c r="L10" s="8" t="s">
        <v>156</v>
      </c>
      <c r="M10" s="8" t="s">
        <v>158</v>
      </c>
      <c r="N10" s="8" t="s">
        <v>149</v>
      </c>
      <c r="O10" s="8"/>
      <c r="P10" s="11" t="str">
        <f t="shared" si="0"/>
        <v>Routine</v>
      </c>
      <c r="Q10" s="11" t="str">
        <f t="shared" si="1"/>
        <v>Limit new starts</v>
      </c>
    </row>
    <row r="11" spans="1:17" ht="39.6" customHeight="1">
      <c r="A11" s="8" t="s">
        <v>159</v>
      </c>
      <c r="B11" s="8" t="s">
        <v>12</v>
      </c>
      <c r="C11" s="8" t="s">
        <v>160</v>
      </c>
      <c r="D11" s="8" t="s">
        <v>152</v>
      </c>
      <c r="E11" s="8" t="s">
        <v>153</v>
      </c>
      <c r="F11" s="20" t="str">
        <f>IF(A11="","",IF(COUNTIF('03 - HEALTH REVIEW'!$A$9:$A$58,A11)&gt;1,"DUPLICATE ID ","")&amp;IF(ReviewDate="","SET REVIEW DATE ","")&amp;IF(C11="Intervention required","INTERVENTION REQUIRED ","")&amp;IF(C11="","CONDITION MISSING ","")&amp;IF(E11="","CONFIDENCE MISSING ","")&amp;IF(AND(C11="Within tolerance",E11="Low"),"LOW-EVIDENCE HEALTH CLAIM ","")&amp;IF(AND(D11="Deteriorating",G11=""),"ACTION REQUIRED ","")&amp;IF(AND(C11="Intervention required",ISNUMBER(I11),I11&lt;ReviewDate),"ESCALATION TRIGGERED ","")&amp;IF(AND(OR(C11="Unknown",C11=""),ISNUMBER(Commitment),Commitment&lt;=ReviewDate+Horizon),"EVIDENCE GAP BEFORE COMMITMENT ","")&amp;IF(AND(G11&lt;&gt;"",OR(H11="",I11="")),"ACTION OWNER OR DATE MISSING ",""))</f>
        <v xml:space="preserve">INTERVENTION REQUIRED </v>
      </c>
      <c r="G11" s="8" t="s">
        <v>161</v>
      </c>
      <c r="H11" s="8" t="s">
        <v>162</v>
      </c>
      <c r="I11" s="9">
        <v>46290</v>
      </c>
      <c r="J11" s="8" t="s">
        <v>163</v>
      </c>
      <c r="K11" s="9" t="s">
        <v>164</v>
      </c>
      <c r="L11" s="8" t="s">
        <v>163</v>
      </c>
      <c r="M11" s="8" t="s">
        <v>158</v>
      </c>
      <c r="N11" s="8" t="s">
        <v>165</v>
      </c>
      <c r="O11" s="8"/>
      <c r="P11" s="11" t="str">
        <f t="shared" si="0"/>
        <v>Critical</v>
      </c>
      <c r="Q11" s="11" t="str">
        <f t="shared" si="1"/>
        <v>Agree alternative sequence</v>
      </c>
    </row>
    <row r="12" spans="1:17" ht="26.45" customHeight="1">
      <c r="A12" s="8" t="s">
        <v>166</v>
      </c>
      <c r="B12" s="8" t="s">
        <v>14</v>
      </c>
      <c r="C12" s="8" t="s">
        <v>160</v>
      </c>
      <c r="D12" s="8" t="s">
        <v>152</v>
      </c>
      <c r="E12" s="8" t="s">
        <v>153</v>
      </c>
      <c r="F12" s="20" t="str">
        <f>IF(A12="","",IF(COUNTIF('03 - HEALTH REVIEW'!$A$9:$A$58,A12)&gt;1,"DUPLICATE ID ","")&amp;IF(ReviewDate="","SET REVIEW DATE ","")&amp;IF(C12="Intervention required","INTERVENTION REQUIRED ","")&amp;IF(C12="","CONDITION MISSING ","")&amp;IF(E12="","CONFIDENCE MISSING ","")&amp;IF(AND(C12="Within tolerance",E12="Low"),"LOW-EVIDENCE HEALTH CLAIM ","")&amp;IF(AND(D12="Deteriorating",G12=""),"ACTION REQUIRED ","")&amp;IF(AND(C12="Intervention required",ISNUMBER(I12),I12&lt;ReviewDate),"ESCALATION TRIGGERED ","")&amp;IF(AND(OR(C12="Unknown",C12=""),ISNUMBER(Commitment),Commitment&lt;=ReviewDate+Horizon),"EVIDENCE GAP BEFORE COMMITMENT ","")&amp;IF(AND(G12&lt;&gt;"",OR(H12="",I12="")),"ACTION OWNER OR DATE MISSING ",""))</f>
        <v xml:space="preserve">INTERVENTION REQUIRED </v>
      </c>
      <c r="G12" s="8" t="s">
        <v>167</v>
      </c>
      <c r="H12" s="8" t="s">
        <v>61</v>
      </c>
      <c r="I12" s="9">
        <v>46290</v>
      </c>
      <c r="J12" s="8" t="s">
        <v>168</v>
      </c>
      <c r="K12" s="9" t="s">
        <v>169</v>
      </c>
      <c r="L12" s="8" t="s">
        <v>168</v>
      </c>
      <c r="M12" s="8" t="s">
        <v>158</v>
      </c>
      <c r="N12" s="8" t="s">
        <v>170</v>
      </c>
      <c r="O12" s="8"/>
      <c r="P12" s="11" t="str">
        <f t="shared" si="0"/>
        <v>Critical</v>
      </c>
      <c r="Q12" s="11" t="str">
        <f t="shared" si="1"/>
        <v>Select release option</v>
      </c>
    </row>
    <row r="13" spans="1:17" ht="52.7" customHeight="1">
      <c r="A13" s="8" t="s">
        <v>171</v>
      </c>
      <c r="B13" s="8" t="s">
        <v>16</v>
      </c>
      <c r="C13" s="8" t="s">
        <v>172</v>
      </c>
      <c r="D13" s="8" t="s">
        <v>173</v>
      </c>
      <c r="E13" s="8" t="s">
        <v>174</v>
      </c>
      <c r="F13" s="20" t="str">
        <f>IF(A13="","",IF(COUNTIF('03 - HEALTH REVIEW'!$A$9:$A$58,A13)&gt;1,"DUPLICATE ID ","")&amp;IF(ReviewDate="","SET REVIEW DATE ","")&amp;IF(C13="Intervention required","INTERVENTION REQUIRED ","")&amp;IF(C13="","CONDITION MISSING ","")&amp;IF(E13="","CONFIDENCE MISSING ","")&amp;IF(AND(C13="Within tolerance",E13="Low"),"LOW-EVIDENCE HEALTH CLAIM ","")&amp;IF(AND(D13="Deteriorating",G13=""),"ACTION REQUIRED ","")&amp;IF(AND(C13="Intervention required",ISNUMBER(I13),I13&lt;ReviewDate),"ESCALATION TRIGGERED ","")&amp;IF(AND(OR(C13="Unknown",C13=""),ISNUMBER(Commitment),Commitment&lt;=ReviewDate+Horizon),"EVIDENCE GAP BEFORE COMMITMENT ","")&amp;IF(AND(G13&lt;&gt;"",OR(H13="",I13="")),"ACTION OWNER OR DATE MISSING ",""))</f>
        <v xml:space="preserve">EVIDENCE GAP BEFORE COMMITMENT </v>
      </c>
      <c r="G13" s="8" t="s">
        <v>175</v>
      </c>
      <c r="H13" s="8" t="s">
        <v>176</v>
      </c>
      <c r="I13" s="9">
        <v>46294</v>
      </c>
      <c r="J13" s="8" t="s">
        <v>177</v>
      </c>
      <c r="K13" s="9" t="s">
        <v>178</v>
      </c>
      <c r="L13" s="8" t="s">
        <v>177</v>
      </c>
      <c r="M13" s="8" t="s">
        <v>158</v>
      </c>
      <c r="N13" s="8" t="s">
        <v>179</v>
      </c>
      <c r="O13" s="8"/>
      <c r="P13" s="11" t="str">
        <f t="shared" si="0"/>
        <v>Critical</v>
      </c>
      <c r="Q13" s="11" t="str">
        <f t="shared" si="1"/>
        <v>Commission representative rehearsal</v>
      </c>
    </row>
    <row r="14" spans="1:17" ht="39.6" customHeight="1">
      <c r="A14" s="8" t="s">
        <v>180</v>
      </c>
      <c r="B14" s="8" t="s">
        <v>18</v>
      </c>
      <c r="C14" s="8" t="s">
        <v>151</v>
      </c>
      <c r="D14" s="8" t="s">
        <v>143</v>
      </c>
      <c r="E14" s="8" t="s">
        <v>144</v>
      </c>
      <c r="F14" s="20" t="str">
        <f>IF(A14="","",IF(COUNTIF('03 - HEALTH REVIEW'!$A$9:$A$58,A14)&gt;1,"DUPLICATE ID ","")&amp;IF(ReviewDate="","SET REVIEW DATE ","")&amp;IF(C14="Intervention required","INTERVENTION REQUIRED ","")&amp;IF(C14="","CONDITION MISSING ","")&amp;IF(E14="","CONFIDENCE MISSING ","")&amp;IF(AND(C14="Within tolerance",E14="Low"),"LOW-EVIDENCE HEALTH CLAIM ","")&amp;IF(AND(D14="Deteriorating",G14=""),"ACTION REQUIRED ","")&amp;IF(AND(C14="Intervention required",ISNUMBER(I14),I14&lt;ReviewDate),"ESCALATION TRIGGERED ","")&amp;IF(AND(OR(C14="Unknown",C14=""),ISNUMBER(Commitment),Commitment&lt;=ReviewDate+Horizon),"EVIDENCE GAP BEFORE COMMITMENT ","")&amp;IF(AND(G14&lt;&gt;"",OR(H14="",I14="")),"ACTION OWNER OR DATE MISSING ",""))</f>
        <v/>
      </c>
      <c r="G14" s="8" t="s">
        <v>181</v>
      </c>
      <c r="H14" s="8" t="s">
        <v>64</v>
      </c>
      <c r="I14" s="9">
        <v>46293</v>
      </c>
      <c r="J14" s="8" t="s">
        <v>182</v>
      </c>
      <c r="K14" s="9" t="s">
        <v>183</v>
      </c>
      <c r="L14" s="8" t="s">
        <v>182</v>
      </c>
      <c r="M14" s="8" t="s">
        <v>158</v>
      </c>
      <c r="N14" s="8" t="s">
        <v>184</v>
      </c>
      <c r="O14" s="8"/>
      <c r="P14" s="11" t="str">
        <f t="shared" si="0"/>
        <v>Routine</v>
      </c>
      <c r="Q14" s="11" t="str">
        <f t="shared" si="1"/>
        <v>Rehearse operator access</v>
      </c>
    </row>
    <row r="15" spans="1:17" ht="39.6" customHeight="1">
      <c r="A15" s="8" t="s">
        <v>185</v>
      </c>
      <c r="B15" s="8" t="s">
        <v>20</v>
      </c>
      <c r="C15" s="8" t="s">
        <v>151</v>
      </c>
      <c r="D15" s="8" t="s">
        <v>173</v>
      </c>
      <c r="E15" s="8" t="s">
        <v>174</v>
      </c>
      <c r="F15" s="20" t="str">
        <f>IF(A15="","",IF(COUNTIF('03 - HEALTH REVIEW'!$A$9:$A$58,A15)&gt;1,"DUPLICATE ID ","")&amp;IF(ReviewDate="","SET REVIEW DATE ","")&amp;IF(C15="Intervention required","INTERVENTION REQUIRED ","")&amp;IF(C15="","CONDITION MISSING ","")&amp;IF(E15="","CONFIDENCE MISSING ","")&amp;IF(AND(C15="Within tolerance",E15="Low"),"LOW-EVIDENCE HEALTH CLAIM ","")&amp;IF(AND(D15="Deteriorating",G15=""),"ACTION REQUIRED ","")&amp;IF(AND(C15="Intervention required",ISNUMBER(I15),I15&lt;ReviewDate),"ESCALATION TRIGGERED ","")&amp;IF(AND(OR(C15="Unknown",C15=""),ISNUMBER(Commitment),Commitment&lt;=ReviewDate+Horizon),"EVIDENCE GAP BEFORE COMMITMENT ","")&amp;IF(AND(G15&lt;&gt;"",OR(H15="",I15="")),"ACTION OWNER OR DATE MISSING ",""))</f>
        <v/>
      </c>
      <c r="G15" s="8" t="s">
        <v>186</v>
      </c>
      <c r="H15" s="8" t="s">
        <v>62</v>
      </c>
      <c r="I15" s="9">
        <v>46295</v>
      </c>
      <c r="J15" s="8" t="s">
        <v>187</v>
      </c>
      <c r="K15" s="9" t="s">
        <v>188</v>
      </c>
      <c r="L15" s="8" t="s">
        <v>187</v>
      </c>
      <c r="M15" s="8" t="s">
        <v>158</v>
      </c>
      <c r="N15" s="8" t="s">
        <v>149</v>
      </c>
      <c r="O15" s="8"/>
      <c r="P15" s="11" t="str">
        <f t="shared" si="0"/>
        <v>Routine</v>
      </c>
      <c r="Q15" s="11" t="str">
        <f t="shared" si="1"/>
        <v>Establish cohort</v>
      </c>
    </row>
    <row r="16" spans="1:17" ht="60" customHeight="1">
      <c r="A16" s="8"/>
      <c r="B16" s="8"/>
      <c r="C16" s="8"/>
      <c r="D16" s="8"/>
      <c r="E16" s="8"/>
      <c r="F16" s="20" t="str">
        <f>IF(A16="","",IF(COUNTIF('03 - HEALTH REVIEW'!$A$9:$A$58,A16)&gt;1,"DUPLICATE ID ","")&amp;IF(ReviewDate="","SET REVIEW DATE ","")&amp;IF(C16="Intervention required","INTERVENTION REQUIRED ","")&amp;IF(C16="","CONDITION MISSING ","")&amp;IF(E16="","CONFIDENCE MISSING ","")&amp;IF(AND(C16="Within tolerance",E16="Low"),"LOW-EVIDENCE HEALTH CLAIM ","")&amp;IF(AND(D16="Deteriorating",G16=""),"ACTION REQUIRED ","")&amp;IF(AND(C16="Intervention required",ISNUMBER(I16),I16&lt;ReviewDate),"ESCALATION TRIGGERED ","")&amp;IF(AND(OR(C16="Unknown",C16=""),ISNUMBER(Commitment),Commitment&lt;=ReviewDate+Horizon),"EVIDENCE GAP BEFORE COMMITMENT ","")&amp;IF(AND(G16&lt;&gt;"",OR(H16="",I16="")),"ACTION OWNER OR DATE MISSING ",""))</f>
        <v/>
      </c>
      <c r="G16" s="8"/>
      <c r="H16" s="8"/>
      <c r="I16" s="9"/>
      <c r="J16" s="8"/>
      <c r="K16" s="9"/>
      <c r="L16" s="8"/>
      <c r="M16" s="8"/>
      <c r="N16" s="8"/>
      <c r="O16" s="8"/>
      <c r="P16" s="11" t="str">
        <f t="shared" si="0"/>
        <v/>
      </c>
      <c r="Q16" s="11" t="str">
        <f t="shared" si="1"/>
        <v/>
      </c>
    </row>
    <row r="17" spans="1:17" ht="60" customHeight="1">
      <c r="A17" s="8"/>
      <c r="B17" s="8"/>
      <c r="C17" s="8"/>
      <c r="D17" s="8"/>
      <c r="E17" s="8"/>
      <c r="F17" s="20" t="str">
        <f>IF(A17="","",IF(COUNTIF('03 - HEALTH REVIEW'!$A$9:$A$58,A17)&gt;1,"DUPLICATE ID ","")&amp;IF(ReviewDate="","SET REVIEW DATE ","")&amp;IF(C17="Intervention required","INTERVENTION REQUIRED ","")&amp;IF(C17="","CONDITION MISSING ","")&amp;IF(E17="","CONFIDENCE MISSING ","")&amp;IF(AND(C17="Within tolerance",E17="Low"),"LOW-EVIDENCE HEALTH CLAIM ","")&amp;IF(AND(D17="Deteriorating",G17=""),"ACTION REQUIRED ","")&amp;IF(AND(C17="Intervention required",ISNUMBER(I17),I17&lt;ReviewDate),"ESCALATION TRIGGERED ","")&amp;IF(AND(OR(C17="Unknown",C17=""),ISNUMBER(Commitment),Commitment&lt;=ReviewDate+Horizon),"EVIDENCE GAP BEFORE COMMITMENT ","")&amp;IF(AND(G17&lt;&gt;"",OR(H17="",I17="")),"ACTION OWNER OR DATE MISSING ",""))</f>
        <v/>
      </c>
      <c r="G17" s="8"/>
      <c r="H17" s="8"/>
      <c r="I17" s="9"/>
      <c r="J17" s="8"/>
      <c r="K17" s="9"/>
      <c r="L17" s="8"/>
      <c r="M17" s="8"/>
      <c r="N17" s="8"/>
      <c r="O17" s="8"/>
      <c r="P17" s="11" t="str">
        <f t="shared" si="0"/>
        <v/>
      </c>
      <c r="Q17" s="11" t="str">
        <f t="shared" si="1"/>
        <v/>
      </c>
    </row>
    <row r="18" spans="1:17" ht="60" customHeight="1">
      <c r="A18" s="8"/>
      <c r="B18" s="8"/>
      <c r="C18" s="8"/>
      <c r="D18" s="8"/>
      <c r="E18" s="8"/>
      <c r="F18" s="20" t="str">
        <f>IF(A18="","",IF(COUNTIF('03 - HEALTH REVIEW'!$A$9:$A$58,A18)&gt;1,"DUPLICATE ID ","")&amp;IF(ReviewDate="","SET REVIEW DATE ","")&amp;IF(C18="Intervention required","INTERVENTION REQUIRED ","")&amp;IF(C18="","CONDITION MISSING ","")&amp;IF(E18="","CONFIDENCE MISSING ","")&amp;IF(AND(C18="Within tolerance",E18="Low"),"LOW-EVIDENCE HEALTH CLAIM ","")&amp;IF(AND(D18="Deteriorating",G18=""),"ACTION REQUIRED ","")&amp;IF(AND(C18="Intervention required",ISNUMBER(I18),I18&lt;ReviewDate),"ESCALATION TRIGGERED ","")&amp;IF(AND(OR(C18="Unknown",C18=""),ISNUMBER(Commitment),Commitment&lt;=ReviewDate+Horizon),"EVIDENCE GAP BEFORE COMMITMENT ","")&amp;IF(AND(G18&lt;&gt;"",OR(H18="",I18="")),"ACTION OWNER OR DATE MISSING ",""))</f>
        <v/>
      </c>
      <c r="G18" s="8"/>
      <c r="H18" s="8"/>
      <c r="I18" s="9"/>
      <c r="J18" s="8"/>
      <c r="K18" s="9"/>
      <c r="L18" s="8"/>
      <c r="M18" s="8"/>
      <c r="N18" s="8"/>
      <c r="O18" s="8"/>
      <c r="P18" s="11" t="str">
        <f t="shared" si="0"/>
        <v/>
      </c>
      <c r="Q18" s="11" t="str">
        <f t="shared" si="1"/>
        <v/>
      </c>
    </row>
    <row r="19" spans="1:17" ht="60" customHeight="1">
      <c r="A19" s="8"/>
      <c r="B19" s="8"/>
      <c r="C19" s="8"/>
      <c r="D19" s="8"/>
      <c r="E19" s="8"/>
      <c r="F19" s="20" t="str">
        <f>IF(A19="","",IF(COUNTIF('03 - HEALTH REVIEW'!$A$9:$A$58,A19)&gt;1,"DUPLICATE ID ","")&amp;IF(ReviewDate="","SET REVIEW DATE ","")&amp;IF(C19="Intervention required","INTERVENTION REQUIRED ","")&amp;IF(C19="","CONDITION MISSING ","")&amp;IF(E19="","CONFIDENCE MISSING ","")&amp;IF(AND(C19="Within tolerance",E19="Low"),"LOW-EVIDENCE HEALTH CLAIM ","")&amp;IF(AND(D19="Deteriorating",G19=""),"ACTION REQUIRED ","")&amp;IF(AND(C19="Intervention required",ISNUMBER(I19),I19&lt;ReviewDate),"ESCALATION TRIGGERED ","")&amp;IF(AND(OR(C19="Unknown",C19=""),ISNUMBER(Commitment),Commitment&lt;=ReviewDate+Horizon),"EVIDENCE GAP BEFORE COMMITMENT ","")&amp;IF(AND(G19&lt;&gt;"",OR(H19="",I19="")),"ACTION OWNER OR DATE MISSING ",""))</f>
        <v/>
      </c>
      <c r="G19" s="8"/>
      <c r="H19" s="8"/>
      <c r="I19" s="9"/>
      <c r="J19" s="8"/>
      <c r="K19" s="9"/>
      <c r="L19" s="8"/>
      <c r="M19" s="8"/>
      <c r="N19" s="8"/>
      <c r="O19" s="8"/>
      <c r="P19" s="11" t="str">
        <f t="shared" si="0"/>
        <v/>
      </c>
      <c r="Q19" s="11" t="str">
        <f t="shared" si="1"/>
        <v/>
      </c>
    </row>
    <row r="20" spans="1:17" ht="60" customHeight="1">
      <c r="A20" s="8"/>
      <c r="B20" s="8"/>
      <c r="C20" s="8"/>
      <c r="D20" s="8"/>
      <c r="E20" s="8"/>
      <c r="F20" s="20" t="str">
        <f>IF(A20="","",IF(COUNTIF('03 - HEALTH REVIEW'!$A$9:$A$58,A20)&gt;1,"DUPLICATE ID ","")&amp;IF(ReviewDate="","SET REVIEW DATE ","")&amp;IF(C20="Intervention required","INTERVENTION REQUIRED ","")&amp;IF(C20="","CONDITION MISSING ","")&amp;IF(E20="","CONFIDENCE MISSING ","")&amp;IF(AND(C20="Within tolerance",E20="Low"),"LOW-EVIDENCE HEALTH CLAIM ","")&amp;IF(AND(D20="Deteriorating",G20=""),"ACTION REQUIRED ","")&amp;IF(AND(C20="Intervention required",ISNUMBER(I20),I20&lt;ReviewDate),"ESCALATION TRIGGERED ","")&amp;IF(AND(OR(C20="Unknown",C20=""),ISNUMBER(Commitment),Commitment&lt;=ReviewDate+Horizon),"EVIDENCE GAP BEFORE COMMITMENT ","")&amp;IF(AND(G20&lt;&gt;"",OR(H20="",I20="")),"ACTION OWNER OR DATE MISSING ",""))</f>
        <v/>
      </c>
      <c r="G20" s="8"/>
      <c r="H20" s="8"/>
      <c r="I20" s="9"/>
      <c r="J20" s="8"/>
      <c r="K20" s="9"/>
      <c r="L20" s="8"/>
      <c r="M20" s="8"/>
      <c r="N20" s="8"/>
      <c r="O20" s="8"/>
      <c r="P20" s="11" t="str">
        <f t="shared" si="0"/>
        <v/>
      </c>
      <c r="Q20" s="11" t="str">
        <f t="shared" si="1"/>
        <v/>
      </c>
    </row>
    <row r="21" spans="1:17" ht="60" customHeight="1">
      <c r="A21" s="8"/>
      <c r="B21" s="8"/>
      <c r="C21" s="8"/>
      <c r="D21" s="8"/>
      <c r="E21" s="8"/>
      <c r="F21" s="20" t="str">
        <f>IF(A21="","",IF(COUNTIF('03 - HEALTH REVIEW'!$A$9:$A$58,A21)&gt;1,"DUPLICATE ID ","")&amp;IF(ReviewDate="","SET REVIEW DATE ","")&amp;IF(C21="Intervention required","INTERVENTION REQUIRED ","")&amp;IF(C21="","CONDITION MISSING ","")&amp;IF(E21="","CONFIDENCE MISSING ","")&amp;IF(AND(C21="Within tolerance",E21="Low"),"LOW-EVIDENCE HEALTH CLAIM ","")&amp;IF(AND(D21="Deteriorating",G21=""),"ACTION REQUIRED ","")&amp;IF(AND(C21="Intervention required",ISNUMBER(I21),I21&lt;ReviewDate),"ESCALATION TRIGGERED ","")&amp;IF(AND(OR(C21="Unknown",C21=""),ISNUMBER(Commitment),Commitment&lt;=ReviewDate+Horizon),"EVIDENCE GAP BEFORE COMMITMENT ","")&amp;IF(AND(G21&lt;&gt;"",OR(H21="",I21="")),"ACTION OWNER OR DATE MISSING ",""))</f>
        <v/>
      </c>
      <c r="G21" s="8"/>
      <c r="H21" s="8"/>
      <c r="I21" s="9"/>
      <c r="J21" s="8"/>
      <c r="K21" s="9"/>
      <c r="L21" s="8"/>
      <c r="M21" s="8"/>
      <c r="N21" s="8"/>
      <c r="O21" s="8"/>
      <c r="P21" s="11" t="str">
        <f t="shared" si="0"/>
        <v/>
      </c>
      <c r="Q21" s="11" t="str">
        <f t="shared" si="1"/>
        <v/>
      </c>
    </row>
    <row r="22" spans="1:17" ht="60" customHeight="1">
      <c r="A22" s="8"/>
      <c r="B22" s="8"/>
      <c r="C22" s="8"/>
      <c r="D22" s="8"/>
      <c r="E22" s="8"/>
      <c r="F22" s="20" t="str">
        <f>IF(A22="","",IF(COUNTIF('03 - HEALTH REVIEW'!$A$9:$A$58,A22)&gt;1,"DUPLICATE ID ","")&amp;IF(ReviewDate="","SET REVIEW DATE ","")&amp;IF(C22="Intervention required","INTERVENTION REQUIRED ","")&amp;IF(C22="","CONDITION MISSING ","")&amp;IF(E22="","CONFIDENCE MISSING ","")&amp;IF(AND(C22="Within tolerance",E22="Low"),"LOW-EVIDENCE HEALTH CLAIM ","")&amp;IF(AND(D22="Deteriorating",G22=""),"ACTION REQUIRED ","")&amp;IF(AND(C22="Intervention required",ISNUMBER(I22),I22&lt;ReviewDate),"ESCALATION TRIGGERED ","")&amp;IF(AND(OR(C22="Unknown",C22=""),ISNUMBER(Commitment),Commitment&lt;=ReviewDate+Horizon),"EVIDENCE GAP BEFORE COMMITMENT ","")&amp;IF(AND(G22&lt;&gt;"",OR(H22="",I22="")),"ACTION OWNER OR DATE MISSING ",""))</f>
        <v/>
      </c>
      <c r="G22" s="8"/>
      <c r="H22" s="8"/>
      <c r="I22" s="9"/>
      <c r="J22" s="8"/>
      <c r="K22" s="9"/>
      <c r="L22" s="8"/>
      <c r="M22" s="8"/>
      <c r="N22" s="8"/>
      <c r="O22" s="8"/>
      <c r="P22" s="11" t="str">
        <f t="shared" si="0"/>
        <v/>
      </c>
      <c r="Q22" s="11" t="str">
        <f t="shared" si="1"/>
        <v/>
      </c>
    </row>
    <row r="23" spans="1:17" ht="60" customHeight="1">
      <c r="A23" s="8"/>
      <c r="B23" s="8"/>
      <c r="C23" s="8"/>
      <c r="D23" s="8"/>
      <c r="E23" s="8"/>
      <c r="F23" s="20" t="str">
        <f>IF(A23="","",IF(COUNTIF('03 - HEALTH REVIEW'!$A$9:$A$58,A23)&gt;1,"DUPLICATE ID ","")&amp;IF(ReviewDate="","SET REVIEW DATE ","")&amp;IF(C23="Intervention required","INTERVENTION REQUIRED ","")&amp;IF(C23="","CONDITION MISSING ","")&amp;IF(E23="","CONFIDENCE MISSING ","")&amp;IF(AND(C23="Within tolerance",E23="Low"),"LOW-EVIDENCE HEALTH CLAIM ","")&amp;IF(AND(D23="Deteriorating",G23=""),"ACTION REQUIRED ","")&amp;IF(AND(C23="Intervention required",ISNUMBER(I23),I23&lt;ReviewDate),"ESCALATION TRIGGERED ","")&amp;IF(AND(OR(C23="Unknown",C23=""),ISNUMBER(Commitment),Commitment&lt;=ReviewDate+Horizon),"EVIDENCE GAP BEFORE COMMITMENT ","")&amp;IF(AND(G23&lt;&gt;"",OR(H23="",I23="")),"ACTION OWNER OR DATE MISSING ",""))</f>
        <v/>
      </c>
      <c r="G23" s="8"/>
      <c r="H23" s="8"/>
      <c r="I23" s="9"/>
      <c r="J23" s="8"/>
      <c r="K23" s="9"/>
      <c r="L23" s="8"/>
      <c r="M23" s="8"/>
      <c r="N23" s="8"/>
      <c r="O23" s="8"/>
      <c r="P23" s="11" t="str">
        <f t="shared" si="0"/>
        <v/>
      </c>
      <c r="Q23" s="11" t="str">
        <f t="shared" si="1"/>
        <v/>
      </c>
    </row>
    <row r="24" spans="1:17" ht="60" customHeight="1">
      <c r="A24" s="8"/>
      <c r="B24" s="8"/>
      <c r="C24" s="8"/>
      <c r="D24" s="8"/>
      <c r="E24" s="8"/>
      <c r="F24" s="20" t="str">
        <f>IF(A24="","",IF(COUNTIF('03 - HEALTH REVIEW'!$A$9:$A$58,A24)&gt;1,"DUPLICATE ID ","")&amp;IF(ReviewDate="","SET REVIEW DATE ","")&amp;IF(C24="Intervention required","INTERVENTION REQUIRED ","")&amp;IF(C24="","CONDITION MISSING ","")&amp;IF(E24="","CONFIDENCE MISSING ","")&amp;IF(AND(C24="Within tolerance",E24="Low"),"LOW-EVIDENCE HEALTH CLAIM ","")&amp;IF(AND(D24="Deteriorating",G24=""),"ACTION REQUIRED ","")&amp;IF(AND(C24="Intervention required",ISNUMBER(I24),I24&lt;ReviewDate),"ESCALATION TRIGGERED ","")&amp;IF(AND(OR(C24="Unknown",C24=""),ISNUMBER(Commitment),Commitment&lt;=ReviewDate+Horizon),"EVIDENCE GAP BEFORE COMMITMENT ","")&amp;IF(AND(G24&lt;&gt;"",OR(H24="",I24="")),"ACTION OWNER OR DATE MISSING ",""))</f>
        <v/>
      </c>
      <c r="G24" s="8"/>
      <c r="H24" s="8"/>
      <c r="I24" s="9"/>
      <c r="J24" s="8"/>
      <c r="K24" s="9"/>
      <c r="L24" s="8"/>
      <c r="M24" s="8"/>
      <c r="N24" s="8"/>
      <c r="O24" s="8"/>
      <c r="P24" s="11" t="str">
        <f t="shared" si="0"/>
        <v/>
      </c>
      <c r="Q24" s="11" t="str">
        <f t="shared" si="1"/>
        <v/>
      </c>
    </row>
    <row r="25" spans="1:17" ht="60" customHeight="1">
      <c r="A25" s="8"/>
      <c r="B25" s="8"/>
      <c r="C25" s="8"/>
      <c r="D25" s="8"/>
      <c r="E25" s="8"/>
      <c r="F25" s="20" t="str">
        <f>IF(A25="","",IF(COUNTIF('03 - HEALTH REVIEW'!$A$9:$A$58,A25)&gt;1,"DUPLICATE ID ","")&amp;IF(ReviewDate="","SET REVIEW DATE ","")&amp;IF(C25="Intervention required","INTERVENTION REQUIRED ","")&amp;IF(C25="","CONDITION MISSING ","")&amp;IF(E25="","CONFIDENCE MISSING ","")&amp;IF(AND(C25="Within tolerance",E25="Low"),"LOW-EVIDENCE HEALTH CLAIM ","")&amp;IF(AND(D25="Deteriorating",G25=""),"ACTION REQUIRED ","")&amp;IF(AND(C25="Intervention required",ISNUMBER(I25),I25&lt;ReviewDate),"ESCALATION TRIGGERED ","")&amp;IF(AND(OR(C25="Unknown",C25=""),ISNUMBER(Commitment),Commitment&lt;=ReviewDate+Horizon),"EVIDENCE GAP BEFORE COMMITMENT ","")&amp;IF(AND(G25&lt;&gt;"",OR(H25="",I25="")),"ACTION OWNER OR DATE MISSING ",""))</f>
        <v/>
      </c>
      <c r="G25" s="8"/>
      <c r="H25" s="8"/>
      <c r="I25" s="9"/>
      <c r="J25" s="8"/>
      <c r="K25" s="9"/>
      <c r="L25" s="8"/>
      <c r="M25" s="8"/>
      <c r="N25" s="8"/>
      <c r="O25" s="8"/>
      <c r="P25" s="11" t="str">
        <f t="shared" si="0"/>
        <v/>
      </c>
      <c r="Q25" s="11" t="str">
        <f t="shared" si="1"/>
        <v/>
      </c>
    </row>
    <row r="26" spans="1:17" ht="60" customHeight="1">
      <c r="A26" s="8"/>
      <c r="B26" s="8"/>
      <c r="C26" s="8"/>
      <c r="D26" s="8"/>
      <c r="E26" s="8"/>
      <c r="F26" s="20" t="str">
        <f>IF(A26="","",IF(COUNTIF('03 - HEALTH REVIEW'!$A$9:$A$58,A26)&gt;1,"DUPLICATE ID ","")&amp;IF(ReviewDate="","SET REVIEW DATE ","")&amp;IF(C26="Intervention required","INTERVENTION REQUIRED ","")&amp;IF(C26="","CONDITION MISSING ","")&amp;IF(E26="","CONFIDENCE MISSING ","")&amp;IF(AND(C26="Within tolerance",E26="Low"),"LOW-EVIDENCE HEALTH CLAIM ","")&amp;IF(AND(D26="Deteriorating",G26=""),"ACTION REQUIRED ","")&amp;IF(AND(C26="Intervention required",ISNUMBER(I26),I26&lt;ReviewDate),"ESCALATION TRIGGERED ","")&amp;IF(AND(OR(C26="Unknown",C26=""),ISNUMBER(Commitment),Commitment&lt;=ReviewDate+Horizon),"EVIDENCE GAP BEFORE COMMITMENT ","")&amp;IF(AND(G26&lt;&gt;"",OR(H26="",I26="")),"ACTION OWNER OR DATE MISSING ",""))</f>
        <v/>
      </c>
      <c r="G26" s="8"/>
      <c r="H26" s="8"/>
      <c r="I26" s="9"/>
      <c r="J26" s="8"/>
      <c r="K26" s="9"/>
      <c r="L26" s="8"/>
      <c r="M26" s="8"/>
      <c r="N26" s="8"/>
      <c r="O26" s="8"/>
      <c r="P26" s="11" t="str">
        <f t="shared" si="0"/>
        <v/>
      </c>
      <c r="Q26" s="11" t="str">
        <f t="shared" si="1"/>
        <v/>
      </c>
    </row>
    <row r="27" spans="1:17" ht="60" customHeight="1">
      <c r="A27" s="8"/>
      <c r="B27" s="8"/>
      <c r="C27" s="8"/>
      <c r="D27" s="8"/>
      <c r="E27" s="8"/>
      <c r="F27" s="20" t="str">
        <f>IF(A27="","",IF(COUNTIF('03 - HEALTH REVIEW'!$A$9:$A$58,A27)&gt;1,"DUPLICATE ID ","")&amp;IF(ReviewDate="","SET REVIEW DATE ","")&amp;IF(C27="Intervention required","INTERVENTION REQUIRED ","")&amp;IF(C27="","CONDITION MISSING ","")&amp;IF(E27="","CONFIDENCE MISSING ","")&amp;IF(AND(C27="Within tolerance",E27="Low"),"LOW-EVIDENCE HEALTH CLAIM ","")&amp;IF(AND(D27="Deteriorating",G27=""),"ACTION REQUIRED ","")&amp;IF(AND(C27="Intervention required",ISNUMBER(I27),I27&lt;ReviewDate),"ESCALATION TRIGGERED ","")&amp;IF(AND(OR(C27="Unknown",C27=""),ISNUMBER(Commitment),Commitment&lt;=ReviewDate+Horizon),"EVIDENCE GAP BEFORE COMMITMENT ","")&amp;IF(AND(G27&lt;&gt;"",OR(H27="",I27="")),"ACTION OWNER OR DATE MISSING ",""))</f>
        <v/>
      </c>
      <c r="G27" s="8"/>
      <c r="H27" s="8"/>
      <c r="I27" s="9"/>
      <c r="J27" s="8"/>
      <c r="K27" s="9"/>
      <c r="L27" s="8"/>
      <c r="M27" s="8"/>
      <c r="N27" s="8"/>
      <c r="O27" s="8"/>
      <c r="P27" s="11" t="str">
        <f t="shared" si="0"/>
        <v/>
      </c>
      <c r="Q27" s="11" t="str">
        <f t="shared" si="1"/>
        <v/>
      </c>
    </row>
    <row r="28" spans="1:17" ht="60" customHeight="1">
      <c r="A28" s="8"/>
      <c r="B28" s="8"/>
      <c r="C28" s="8"/>
      <c r="D28" s="8"/>
      <c r="E28" s="8"/>
      <c r="F28" s="20" t="str">
        <f>IF(A28="","",IF(COUNTIF('03 - HEALTH REVIEW'!$A$9:$A$58,A28)&gt;1,"DUPLICATE ID ","")&amp;IF(ReviewDate="","SET REVIEW DATE ","")&amp;IF(C28="Intervention required","INTERVENTION REQUIRED ","")&amp;IF(C28="","CONDITION MISSING ","")&amp;IF(E28="","CONFIDENCE MISSING ","")&amp;IF(AND(C28="Within tolerance",E28="Low"),"LOW-EVIDENCE HEALTH CLAIM ","")&amp;IF(AND(D28="Deteriorating",G28=""),"ACTION REQUIRED ","")&amp;IF(AND(C28="Intervention required",ISNUMBER(I28),I28&lt;ReviewDate),"ESCALATION TRIGGERED ","")&amp;IF(AND(OR(C28="Unknown",C28=""),ISNUMBER(Commitment),Commitment&lt;=ReviewDate+Horizon),"EVIDENCE GAP BEFORE COMMITMENT ","")&amp;IF(AND(G28&lt;&gt;"",OR(H28="",I28="")),"ACTION OWNER OR DATE MISSING ",""))</f>
        <v/>
      </c>
      <c r="G28" s="8"/>
      <c r="H28" s="8"/>
      <c r="I28" s="9"/>
      <c r="J28" s="8"/>
      <c r="K28" s="9"/>
      <c r="L28" s="8"/>
      <c r="M28" s="8"/>
      <c r="N28" s="8"/>
      <c r="O28" s="8"/>
      <c r="P28" s="11" t="str">
        <f t="shared" si="0"/>
        <v/>
      </c>
      <c r="Q28" s="11" t="str">
        <f t="shared" si="1"/>
        <v/>
      </c>
    </row>
    <row r="29" spans="1:17" ht="60" customHeight="1">
      <c r="A29" s="8"/>
      <c r="B29" s="8"/>
      <c r="C29" s="8"/>
      <c r="D29" s="8"/>
      <c r="E29" s="8"/>
      <c r="F29" s="20" t="str">
        <f>IF(A29="","",IF(COUNTIF('03 - HEALTH REVIEW'!$A$9:$A$58,A29)&gt;1,"DUPLICATE ID ","")&amp;IF(ReviewDate="","SET REVIEW DATE ","")&amp;IF(C29="Intervention required","INTERVENTION REQUIRED ","")&amp;IF(C29="","CONDITION MISSING ","")&amp;IF(E29="","CONFIDENCE MISSING ","")&amp;IF(AND(C29="Within tolerance",E29="Low"),"LOW-EVIDENCE HEALTH CLAIM ","")&amp;IF(AND(D29="Deteriorating",G29=""),"ACTION REQUIRED ","")&amp;IF(AND(C29="Intervention required",ISNUMBER(I29),I29&lt;ReviewDate),"ESCALATION TRIGGERED ","")&amp;IF(AND(OR(C29="Unknown",C29=""),ISNUMBER(Commitment),Commitment&lt;=ReviewDate+Horizon),"EVIDENCE GAP BEFORE COMMITMENT ","")&amp;IF(AND(G29&lt;&gt;"",OR(H29="",I29="")),"ACTION OWNER OR DATE MISSING ",""))</f>
        <v/>
      </c>
      <c r="G29" s="8"/>
      <c r="H29" s="8"/>
      <c r="I29" s="9"/>
      <c r="J29" s="8"/>
      <c r="K29" s="9"/>
      <c r="L29" s="8"/>
      <c r="M29" s="8"/>
      <c r="N29" s="8"/>
      <c r="O29" s="8"/>
      <c r="P29" s="11" t="str">
        <f t="shared" si="0"/>
        <v/>
      </c>
      <c r="Q29" s="11" t="str">
        <f t="shared" si="1"/>
        <v/>
      </c>
    </row>
    <row r="30" spans="1:17" ht="60" customHeight="1">
      <c r="A30" s="8"/>
      <c r="B30" s="8"/>
      <c r="C30" s="8"/>
      <c r="D30" s="8"/>
      <c r="E30" s="8"/>
      <c r="F30" s="20" t="str">
        <f>IF(A30="","",IF(COUNTIF('03 - HEALTH REVIEW'!$A$9:$A$58,A30)&gt;1,"DUPLICATE ID ","")&amp;IF(ReviewDate="","SET REVIEW DATE ","")&amp;IF(C30="Intervention required","INTERVENTION REQUIRED ","")&amp;IF(C30="","CONDITION MISSING ","")&amp;IF(E30="","CONFIDENCE MISSING ","")&amp;IF(AND(C30="Within tolerance",E30="Low"),"LOW-EVIDENCE HEALTH CLAIM ","")&amp;IF(AND(D30="Deteriorating",G30=""),"ACTION REQUIRED ","")&amp;IF(AND(C30="Intervention required",ISNUMBER(I30),I30&lt;ReviewDate),"ESCALATION TRIGGERED ","")&amp;IF(AND(OR(C30="Unknown",C30=""),ISNUMBER(Commitment),Commitment&lt;=ReviewDate+Horizon),"EVIDENCE GAP BEFORE COMMITMENT ","")&amp;IF(AND(G30&lt;&gt;"",OR(H30="",I30="")),"ACTION OWNER OR DATE MISSING ",""))</f>
        <v/>
      </c>
      <c r="G30" s="8"/>
      <c r="H30" s="8"/>
      <c r="I30" s="9"/>
      <c r="J30" s="8"/>
      <c r="K30" s="9"/>
      <c r="L30" s="8"/>
      <c r="M30" s="8"/>
      <c r="N30" s="8"/>
      <c r="O30" s="8"/>
      <c r="P30" s="11" t="str">
        <f t="shared" si="0"/>
        <v/>
      </c>
      <c r="Q30" s="11" t="str">
        <f t="shared" si="1"/>
        <v/>
      </c>
    </row>
    <row r="31" spans="1:17" ht="60" customHeight="1">
      <c r="A31" s="8"/>
      <c r="B31" s="8"/>
      <c r="C31" s="8"/>
      <c r="D31" s="8"/>
      <c r="E31" s="8"/>
      <c r="F31" s="20" t="str">
        <f>IF(A31="","",IF(COUNTIF('03 - HEALTH REVIEW'!$A$9:$A$58,A31)&gt;1,"DUPLICATE ID ","")&amp;IF(ReviewDate="","SET REVIEW DATE ","")&amp;IF(C31="Intervention required","INTERVENTION REQUIRED ","")&amp;IF(C31="","CONDITION MISSING ","")&amp;IF(E31="","CONFIDENCE MISSING ","")&amp;IF(AND(C31="Within tolerance",E31="Low"),"LOW-EVIDENCE HEALTH CLAIM ","")&amp;IF(AND(D31="Deteriorating",G31=""),"ACTION REQUIRED ","")&amp;IF(AND(C31="Intervention required",ISNUMBER(I31),I31&lt;ReviewDate),"ESCALATION TRIGGERED ","")&amp;IF(AND(OR(C31="Unknown",C31=""),ISNUMBER(Commitment),Commitment&lt;=ReviewDate+Horizon),"EVIDENCE GAP BEFORE COMMITMENT ","")&amp;IF(AND(G31&lt;&gt;"",OR(H31="",I31="")),"ACTION OWNER OR DATE MISSING ",""))</f>
        <v/>
      </c>
      <c r="G31" s="8"/>
      <c r="H31" s="8"/>
      <c r="I31" s="9"/>
      <c r="J31" s="8"/>
      <c r="K31" s="9"/>
      <c r="L31" s="8"/>
      <c r="M31" s="8"/>
      <c r="N31" s="8"/>
      <c r="O31" s="8"/>
      <c r="P31" s="11" t="str">
        <f t="shared" si="0"/>
        <v/>
      </c>
      <c r="Q31" s="11" t="str">
        <f t="shared" si="1"/>
        <v/>
      </c>
    </row>
    <row r="32" spans="1:17" ht="60" customHeight="1">
      <c r="A32" s="8"/>
      <c r="B32" s="8"/>
      <c r="C32" s="8"/>
      <c r="D32" s="8"/>
      <c r="E32" s="8"/>
      <c r="F32" s="20" t="str">
        <f>IF(A32="","",IF(COUNTIF('03 - HEALTH REVIEW'!$A$9:$A$58,A32)&gt;1,"DUPLICATE ID ","")&amp;IF(ReviewDate="","SET REVIEW DATE ","")&amp;IF(C32="Intervention required","INTERVENTION REQUIRED ","")&amp;IF(C32="","CONDITION MISSING ","")&amp;IF(E32="","CONFIDENCE MISSING ","")&amp;IF(AND(C32="Within tolerance",E32="Low"),"LOW-EVIDENCE HEALTH CLAIM ","")&amp;IF(AND(D32="Deteriorating",G32=""),"ACTION REQUIRED ","")&amp;IF(AND(C32="Intervention required",ISNUMBER(I32),I32&lt;ReviewDate),"ESCALATION TRIGGERED ","")&amp;IF(AND(OR(C32="Unknown",C32=""),ISNUMBER(Commitment),Commitment&lt;=ReviewDate+Horizon),"EVIDENCE GAP BEFORE COMMITMENT ","")&amp;IF(AND(G32&lt;&gt;"",OR(H32="",I32="")),"ACTION OWNER OR DATE MISSING ",""))</f>
        <v/>
      </c>
      <c r="G32" s="8"/>
      <c r="H32" s="8"/>
      <c r="I32" s="9"/>
      <c r="J32" s="8"/>
      <c r="K32" s="9"/>
      <c r="L32" s="8"/>
      <c r="M32" s="8"/>
      <c r="N32" s="8"/>
      <c r="O32" s="8"/>
      <c r="P32" s="11" t="str">
        <f t="shared" si="0"/>
        <v/>
      </c>
      <c r="Q32" s="11" t="str">
        <f t="shared" si="1"/>
        <v/>
      </c>
    </row>
    <row r="33" spans="1:17" ht="60" customHeight="1">
      <c r="A33" s="8"/>
      <c r="B33" s="8"/>
      <c r="C33" s="8"/>
      <c r="D33" s="8"/>
      <c r="E33" s="8"/>
      <c r="F33" s="20" t="str">
        <f>IF(A33="","",IF(COUNTIF('03 - HEALTH REVIEW'!$A$9:$A$58,A33)&gt;1,"DUPLICATE ID ","")&amp;IF(ReviewDate="","SET REVIEW DATE ","")&amp;IF(C33="Intervention required","INTERVENTION REQUIRED ","")&amp;IF(C33="","CONDITION MISSING ","")&amp;IF(E33="","CONFIDENCE MISSING ","")&amp;IF(AND(C33="Within tolerance",E33="Low"),"LOW-EVIDENCE HEALTH CLAIM ","")&amp;IF(AND(D33="Deteriorating",G33=""),"ACTION REQUIRED ","")&amp;IF(AND(C33="Intervention required",ISNUMBER(I33),I33&lt;ReviewDate),"ESCALATION TRIGGERED ","")&amp;IF(AND(OR(C33="Unknown",C33=""),ISNUMBER(Commitment),Commitment&lt;=ReviewDate+Horizon),"EVIDENCE GAP BEFORE COMMITMENT ","")&amp;IF(AND(G33&lt;&gt;"",OR(H33="",I33="")),"ACTION OWNER OR DATE MISSING ",""))</f>
        <v/>
      </c>
      <c r="G33" s="8"/>
      <c r="H33" s="8"/>
      <c r="I33" s="9"/>
      <c r="J33" s="8"/>
      <c r="K33" s="9"/>
      <c r="L33" s="8"/>
      <c r="M33" s="8"/>
      <c r="N33" s="8"/>
      <c r="O33" s="8"/>
      <c r="P33" s="11" t="str">
        <f t="shared" si="0"/>
        <v/>
      </c>
      <c r="Q33" s="11" t="str">
        <f t="shared" si="1"/>
        <v/>
      </c>
    </row>
    <row r="34" spans="1:17" ht="60" customHeight="1">
      <c r="A34" s="8"/>
      <c r="B34" s="8"/>
      <c r="C34" s="8"/>
      <c r="D34" s="8"/>
      <c r="E34" s="8"/>
      <c r="F34" s="20" t="str">
        <f>IF(A34="","",IF(COUNTIF('03 - HEALTH REVIEW'!$A$9:$A$58,A34)&gt;1,"DUPLICATE ID ","")&amp;IF(ReviewDate="","SET REVIEW DATE ","")&amp;IF(C34="Intervention required","INTERVENTION REQUIRED ","")&amp;IF(C34="","CONDITION MISSING ","")&amp;IF(E34="","CONFIDENCE MISSING ","")&amp;IF(AND(C34="Within tolerance",E34="Low"),"LOW-EVIDENCE HEALTH CLAIM ","")&amp;IF(AND(D34="Deteriorating",G34=""),"ACTION REQUIRED ","")&amp;IF(AND(C34="Intervention required",ISNUMBER(I34),I34&lt;ReviewDate),"ESCALATION TRIGGERED ","")&amp;IF(AND(OR(C34="Unknown",C34=""),ISNUMBER(Commitment),Commitment&lt;=ReviewDate+Horizon),"EVIDENCE GAP BEFORE COMMITMENT ","")&amp;IF(AND(G34&lt;&gt;"",OR(H34="",I34="")),"ACTION OWNER OR DATE MISSING ",""))</f>
        <v/>
      </c>
      <c r="G34" s="8"/>
      <c r="H34" s="8"/>
      <c r="I34" s="9"/>
      <c r="J34" s="8"/>
      <c r="K34" s="9"/>
      <c r="L34" s="8"/>
      <c r="M34" s="8"/>
      <c r="N34" s="8"/>
      <c r="O34" s="8"/>
      <c r="P34" s="11" t="str">
        <f t="shared" si="0"/>
        <v/>
      </c>
      <c r="Q34" s="11" t="str">
        <f t="shared" si="1"/>
        <v/>
      </c>
    </row>
    <row r="35" spans="1:17" ht="60" customHeight="1">
      <c r="A35" s="8"/>
      <c r="B35" s="8"/>
      <c r="C35" s="8"/>
      <c r="D35" s="8"/>
      <c r="E35" s="8"/>
      <c r="F35" s="20" t="str">
        <f>IF(A35="","",IF(COUNTIF('03 - HEALTH REVIEW'!$A$9:$A$58,A35)&gt;1,"DUPLICATE ID ","")&amp;IF(ReviewDate="","SET REVIEW DATE ","")&amp;IF(C35="Intervention required","INTERVENTION REQUIRED ","")&amp;IF(C35="","CONDITION MISSING ","")&amp;IF(E35="","CONFIDENCE MISSING ","")&amp;IF(AND(C35="Within tolerance",E35="Low"),"LOW-EVIDENCE HEALTH CLAIM ","")&amp;IF(AND(D35="Deteriorating",G35=""),"ACTION REQUIRED ","")&amp;IF(AND(C35="Intervention required",ISNUMBER(I35),I35&lt;ReviewDate),"ESCALATION TRIGGERED ","")&amp;IF(AND(OR(C35="Unknown",C35=""),ISNUMBER(Commitment),Commitment&lt;=ReviewDate+Horizon),"EVIDENCE GAP BEFORE COMMITMENT ","")&amp;IF(AND(G35&lt;&gt;"",OR(H35="",I35="")),"ACTION OWNER OR DATE MISSING ",""))</f>
        <v/>
      </c>
      <c r="G35" s="8"/>
      <c r="H35" s="8"/>
      <c r="I35" s="9"/>
      <c r="J35" s="8"/>
      <c r="K35" s="9"/>
      <c r="L35" s="8"/>
      <c r="M35" s="8"/>
      <c r="N35" s="8"/>
      <c r="O35" s="8"/>
      <c r="P35" s="11" t="str">
        <f t="shared" si="0"/>
        <v/>
      </c>
      <c r="Q35" s="11" t="str">
        <f t="shared" si="1"/>
        <v/>
      </c>
    </row>
    <row r="36" spans="1:17" ht="60" customHeight="1">
      <c r="A36" s="8"/>
      <c r="B36" s="8"/>
      <c r="C36" s="8"/>
      <c r="D36" s="8"/>
      <c r="E36" s="8"/>
      <c r="F36" s="20" t="str">
        <f>IF(A36="","",IF(COUNTIF('03 - HEALTH REVIEW'!$A$9:$A$58,A36)&gt;1,"DUPLICATE ID ","")&amp;IF(ReviewDate="","SET REVIEW DATE ","")&amp;IF(C36="Intervention required","INTERVENTION REQUIRED ","")&amp;IF(C36="","CONDITION MISSING ","")&amp;IF(E36="","CONFIDENCE MISSING ","")&amp;IF(AND(C36="Within tolerance",E36="Low"),"LOW-EVIDENCE HEALTH CLAIM ","")&amp;IF(AND(D36="Deteriorating",G36=""),"ACTION REQUIRED ","")&amp;IF(AND(C36="Intervention required",ISNUMBER(I36),I36&lt;ReviewDate),"ESCALATION TRIGGERED ","")&amp;IF(AND(OR(C36="Unknown",C36=""),ISNUMBER(Commitment),Commitment&lt;=ReviewDate+Horizon),"EVIDENCE GAP BEFORE COMMITMENT ","")&amp;IF(AND(G36&lt;&gt;"",OR(H36="",I36="")),"ACTION OWNER OR DATE MISSING ",""))</f>
        <v/>
      </c>
      <c r="G36" s="8"/>
      <c r="H36" s="8"/>
      <c r="I36" s="9"/>
      <c r="J36" s="8"/>
      <c r="K36" s="9"/>
      <c r="L36" s="8"/>
      <c r="M36" s="8"/>
      <c r="N36" s="8"/>
      <c r="O36" s="8"/>
      <c r="P36" s="11" t="str">
        <f t="shared" si="0"/>
        <v/>
      </c>
      <c r="Q36" s="11" t="str">
        <f t="shared" si="1"/>
        <v/>
      </c>
    </row>
    <row r="37" spans="1:17" ht="60" customHeight="1">
      <c r="A37" s="8"/>
      <c r="B37" s="8"/>
      <c r="C37" s="8"/>
      <c r="D37" s="8"/>
      <c r="E37" s="8"/>
      <c r="F37" s="20" t="str">
        <f>IF(A37="","",IF(COUNTIF('03 - HEALTH REVIEW'!$A$9:$A$58,A37)&gt;1,"DUPLICATE ID ","")&amp;IF(ReviewDate="","SET REVIEW DATE ","")&amp;IF(C37="Intervention required","INTERVENTION REQUIRED ","")&amp;IF(C37="","CONDITION MISSING ","")&amp;IF(E37="","CONFIDENCE MISSING ","")&amp;IF(AND(C37="Within tolerance",E37="Low"),"LOW-EVIDENCE HEALTH CLAIM ","")&amp;IF(AND(D37="Deteriorating",G37=""),"ACTION REQUIRED ","")&amp;IF(AND(C37="Intervention required",ISNUMBER(I37),I37&lt;ReviewDate),"ESCALATION TRIGGERED ","")&amp;IF(AND(OR(C37="Unknown",C37=""),ISNUMBER(Commitment),Commitment&lt;=ReviewDate+Horizon),"EVIDENCE GAP BEFORE COMMITMENT ","")&amp;IF(AND(G37&lt;&gt;"",OR(H37="",I37="")),"ACTION OWNER OR DATE MISSING ",""))</f>
        <v/>
      </c>
      <c r="G37" s="8"/>
      <c r="H37" s="8"/>
      <c r="I37" s="9"/>
      <c r="J37" s="8"/>
      <c r="K37" s="9"/>
      <c r="L37" s="8"/>
      <c r="M37" s="8"/>
      <c r="N37" s="8"/>
      <c r="O37" s="8"/>
      <c r="P37" s="11" t="str">
        <f t="shared" si="0"/>
        <v/>
      </c>
      <c r="Q37" s="11" t="str">
        <f t="shared" si="1"/>
        <v/>
      </c>
    </row>
    <row r="38" spans="1:17" ht="60" customHeight="1">
      <c r="A38" s="8"/>
      <c r="B38" s="8"/>
      <c r="C38" s="8"/>
      <c r="D38" s="8"/>
      <c r="E38" s="8"/>
      <c r="F38" s="20" t="str">
        <f>IF(A38="","",IF(COUNTIF('03 - HEALTH REVIEW'!$A$9:$A$58,A38)&gt;1,"DUPLICATE ID ","")&amp;IF(ReviewDate="","SET REVIEW DATE ","")&amp;IF(C38="Intervention required","INTERVENTION REQUIRED ","")&amp;IF(C38="","CONDITION MISSING ","")&amp;IF(E38="","CONFIDENCE MISSING ","")&amp;IF(AND(C38="Within tolerance",E38="Low"),"LOW-EVIDENCE HEALTH CLAIM ","")&amp;IF(AND(D38="Deteriorating",G38=""),"ACTION REQUIRED ","")&amp;IF(AND(C38="Intervention required",ISNUMBER(I38),I38&lt;ReviewDate),"ESCALATION TRIGGERED ","")&amp;IF(AND(OR(C38="Unknown",C38=""),ISNUMBER(Commitment),Commitment&lt;=ReviewDate+Horizon),"EVIDENCE GAP BEFORE COMMITMENT ","")&amp;IF(AND(G38&lt;&gt;"",OR(H38="",I38="")),"ACTION OWNER OR DATE MISSING ",""))</f>
        <v/>
      </c>
      <c r="G38" s="8"/>
      <c r="H38" s="8"/>
      <c r="I38" s="9"/>
      <c r="J38" s="8"/>
      <c r="K38" s="9"/>
      <c r="L38" s="8"/>
      <c r="M38" s="8"/>
      <c r="N38" s="8"/>
      <c r="O38" s="8"/>
      <c r="P38" s="11" t="str">
        <f t="shared" si="0"/>
        <v/>
      </c>
      <c r="Q38" s="11" t="str">
        <f t="shared" si="1"/>
        <v/>
      </c>
    </row>
    <row r="39" spans="1:17" ht="60" customHeight="1">
      <c r="A39" s="8"/>
      <c r="B39" s="8"/>
      <c r="C39" s="8"/>
      <c r="D39" s="8"/>
      <c r="E39" s="8"/>
      <c r="F39" s="20" t="str">
        <f>IF(A39="","",IF(COUNTIF('03 - HEALTH REVIEW'!$A$9:$A$58,A39)&gt;1,"DUPLICATE ID ","")&amp;IF(ReviewDate="","SET REVIEW DATE ","")&amp;IF(C39="Intervention required","INTERVENTION REQUIRED ","")&amp;IF(C39="","CONDITION MISSING ","")&amp;IF(E39="","CONFIDENCE MISSING ","")&amp;IF(AND(C39="Within tolerance",E39="Low"),"LOW-EVIDENCE HEALTH CLAIM ","")&amp;IF(AND(D39="Deteriorating",G39=""),"ACTION REQUIRED ","")&amp;IF(AND(C39="Intervention required",ISNUMBER(I39),I39&lt;ReviewDate),"ESCALATION TRIGGERED ","")&amp;IF(AND(OR(C39="Unknown",C39=""),ISNUMBER(Commitment),Commitment&lt;=ReviewDate+Horizon),"EVIDENCE GAP BEFORE COMMITMENT ","")&amp;IF(AND(G39&lt;&gt;"",OR(H39="",I39="")),"ACTION OWNER OR DATE MISSING ",""))</f>
        <v/>
      </c>
      <c r="G39" s="8"/>
      <c r="H39" s="8"/>
      <c r="I39" s="9"/>
      <c r="J39" s="8"/>
      <c r="K39" s="9"/>
      <c r="L39" s="8"/>
      <c r="M39" s="8"/>
      <c r="N39" s="8"/>
      <c r="O39" s="8"/>
      <c r="P39" s="11" t="str">
        <f t="shared" si="0"/>
        <v/>
      </c>
      <c r="Q39" s="11" t="str">
        <f t="shared" si="1"/>
        <v/>
      </c>
    </row>
    <row r="40" spans="1:17" ht="60" customHeight="1">
      <c r="A40" s="8"/>
      <c r="B40" s="8"/>
      <c r="C40" s="8"/>
      <c r="D40" s="8"/>
      <c r="E40" s="8"/>
      <c r="F40" s="20" t="str">
        <f>IF(A40="","",IF(COUNTIF('03 - HEALTH REVIEW'!$A$9:$A$58,A40)&gt;1,"DUPLICATE ID ","")&amp;IF(ReviewDate="","SET REVIEW DATE ","")&amp;IF(C40="Intervention required","INTERVENTION REQUIRED ","")&amp;IF(C40="","CONDITION MISSING ","")&amp;IF(E40="","CONFIDENCE MISSING ","")&amp;IF(AND(C40="Within tolerance",E40="Low"),"LOW-EVIDENCE HEALTH CLAIM ","")&amp;IF(AND(D40="Deteriorating",G40=""),"ACTION REQUIRED ","")&amp;IF(AND(C40="Intervention required",ISNUMBER(I40),I40&lt;ReviewDate),"ESCALATION TRIGGERED ","")&amp;IF(AND(OR(C40="Unknown",C40=""),ISNUMBER(Commitment),Commitment&lt;=ReviewDate+Horizon),"EVIDENCE GAP BEFORE COMMITMENT ","")&amp;IF(AND(G40&lt;&gt;"",OR(H40="",I40="")),"ACTION OWNER OR DATE MISSING ",""))</f>
        <v/>
      </c>
      <c r="G40" s="8"/>
      <c r="H40" s="8"/>
      <c r="I40" s="9"/>
      <c r="J40" s="8"/>
      <c r="K40" s="9"/>
      <c r="L40" s="8"/>
      <c r="M40" s="8"/>
      <c r="N40" s="8"/>
      <c r="O40" s="8"/>
      <c r="P40" s="11" t="str">
        <f t="shared" si="0"/>
        <v/>
      </c>
      <c r="Q40" s="11" t="str">
        <f t="shared" si="1"/>
        <v/>
      </c>
    </row>
    <row r="41" spans="1:17" ht="60" customHeight="1">
      <c r="A41" s="8"/>
      <c r="B41" s="8"/>
      <c r="C41" s="8"/>
      <c r="D41" s="8"/>
      <c r="E41" s="8"/>
      <c r="F41" s="20" t="str">
        <f>IF(A41="","",IF(COUNTIF('03 - HEALTH REVIEW'!$A$9:$A$58,A41)&gt;1,"DUPLICATE ID ","")&amp;IF(ReviewDate="","SET REVIEW DATE ","")&amp;IF(C41="Intervention required","INTERVENTION REQUIRED ","")&amp;IF(C41="","CONDITION MISSING ","")&amp;IF(E41="","CONFIDENCE MISSING ","")&amp;IF(AND(C41="Within tolerance",E41="Low"),"LOW-EVIDENCE HEALTH CLAIM ","")&amp;IF(AND(D41="Deteriorating",G41=""),"ACTION REQUIRED ","")&amp;IF(AND(C41="Intervention required",ISNUMBER(I41),I41&lt;ReviewDate),"ESCALATION TRIGGERED ","")&amp;IF(AND(OR(C41="Unknown",C41=""),ISNUMBER(Commitment),Commitment&lt;=ReviewDate+Horizon),"EVIDENCE GAP BEFORE COMMITMENT ","")&amp;IF(AND(G41&lt;&gt;"",OR(H41="",I41="")),"ACTION OWNER OR DATE MISSING ",""))</f>
        <v/>
      </c>
      <c r="G41" s="8"/>
      <c r="H41" s="8"/>
      <c r="I41" s="9"/>
      <c r="J41" s="8"/>
      <c r="K41" s="9"/>
      <c r="L41" s="8"/>
      <c r="M41" s="8"/>
      <c r="N41" s="8"/>
      <c r="O41" s="8"/>
      <c r="P41" s="11" t="str">
        <f t="shared" ref="P41:P58" si="2">IF(A41="","",IF(OR(C41="Intervention required",AND(C41="Unknown",ISNUMBER(Commitment),Commitment&lt;=ReviewDate+Horizon)),"Critical",IF(F41&lt;&gt;"","Review","Routine")))</f>
        <v/>
      </c>
      <c r="Q41" s="11" t="str">
        <f t="shared" ref="Q41:Q58" si="3">IF(A41="","",IF(G41&lt;&gt;"",G41,IF(F41&lt;&gt;"","Agree an intervention, evidence, owner and date.","")))</f>
        <v/>
      </c>
    </row>
    <row r="42" spans="1:17" ht="60" customHeight="1">
      <c r="A42" s="8"/>
      <c r="B42" s="8"/>
      <c r="C42" s="8"/>
      <c r="D42" s="8"/>
      <c r="E42" s="8"/>
      <c r="F42" s="20" t="str">
        <f>IF(A42="","",IF(COUNTIF('03 - HEALTH REVIEW'!$A$9:$A$58,A42)&gt;1,"DUPLICATE ID ","")&amp;IF(ReviewDate="","SET REVIEW DATE ","")&amp;IF(C42="Intervention required","INTERVENTION REQUIRED ","")&amp;IF(C42="","CONDITION MISSING ","")&amp;IF(E42="","CONFIDENCE MISSING ","")&amp;IF(AND(C42="Within tolerance",E42="Low"),"LOW-EVIDENCE HEALTH CLAIM ","")&amp;IF(AND(D42="Deteriorating",G42=""),"ACTION REQUIRED ","")&amp;IF(AND(C42="Intervention required",ISNUMBER(I42),I42&lt;ReviewDate),"ESCALATION TRIGGERED ","")&amp;IF(AND(OR(C42="Unknown",C42=""),ISNUMBER(Commitment),Commitment&lt;=ReviewDate+Horizon),"EVIDENCE GAP BEFORE COMMITMENT ","")&amp;IF(AND(G42&lt;&gt;"",OR(H42="",I42="")),"ACTION OWNER OR DATE MISSING ",""))</f>
        <v/>
      </c>
      <c r="G42" s="8"/>
      <c r="H42" s="8"/>
      <c r="I42" s="9"/>
      <c r="J42" s="8"/>
      <c r="K42" s="9"/>
      <c r="L42" s="8"/>
      <c r="M42" s="8"/>
      <c r="N42" s="8"/>
      <c r="O42" s="8"/>
      <c r="P42" s="11" t="str">
        <f t="shared" si="2"/>
        <v/>
      </c>
      <c r="Q42" s="11" t="str">
        <f t="shared" si="3"/>
        <v/>
      </c>
    </row>
    <row r="43" spans="1:17" ht="60" customHeight="1">
      <c r="A43" s="8"/>
      <c r="B43" s="8"/>
      <c r="C43" s="8"/>
      <c r="D43" s="8"/>
      <c r="E43" s="8"/>
      <c r="F43" s="20" t="str">
        <f>IF(A43="","",IF(COUNTIF('03 - HEALTH REVIEW'!$A$9:$A$58,A43)&gt;1,"DUPLICATE ID ","")&amp;IF(ReviewDate="","SET REVIEW DATE ","")&amp;IF(C43="Intervention required","INTERVENTION REQUIRED ","")&amp;IF(C43="","CONDITION MISSING ","")&amp;IF(E43="","CONFIDENCE MISSING ","")&amp;IF(AND(C43="Within tolerance",E43="Low"),"LOW-EVIDENCE HEALTH CLAIM ","")&amp;IF(AND(D43="Deteriorating",G43=""),"ACTION REQUIRED ","")&amp;IF(AND(C43="Intervention required",ISNUMBER(I43),I43&lt;ReviewDate),"ESCALATION TRIGGERED ","")&amp;IF(AND(OR(C43="Unknown",C43=""),ISNUMBER(Commitment),Commitment&lt;=ReviewDate+Horizon),"EVIDENCE GAP BEFORE COMMITMENT ","")&amp;IF(AND(G43&lt;&gt;"",OR(H43="",I43="")),"ACTION OWNER OR DATE MISSING ",""))</f>
        <v/>
      </c>
      <c r="G43" s="8"/>
      <c r="H43" s="8"/>
      <c r="I43" s="9"/>
      <c r="J43" s="8"/>
      <c r="K43" s="9"/>
      <c r="L43" s="8"/>
      <c r="M43" s="8"/>
      <c r="N43" s="8"/>
      <c r="O43" s="8"/>
      <c r="P43" s="11" t="str">
        <f t="shared" si="2"/>
        <v/>
      </c>
      <c r="Q43" s="11" t="str">
        <f t="shared" si="3"/>
        <v/>
      </c>
    </row>
    <row r="44" spans="1:17" ht="60" customHeight="1">
      <c r="A44" s="8"/>
      <c r="B44" s="8"/>
      <c r="C44" s="8"/>
      <c r="D44" s="8"/>
      <c r="E44" s="8"/>
      <c r="F44" s="20" t="str">
        <f>IF(A44="","",IF(COUNTIF('03 - HEALTH REVIEW'!$A$9:$A$58,A44)&gt;1,"DUPLICATE ID ","")&amp;IF(ReviewDate="","SET REVIEW DATE ","")&amp;IF(C44="Intervention required","INTERVENTION REQUIRED ","")&amp;IF(C44="","CONDITION MISSING ","")&amp;IF(E44="","CONFIDENCE MISSING ","")&amp;IF(AND(C44="Within tolerance",E44="Low"),"LOW-EVIDENCE HEALTH CLAIM ","")&amp;IF(AND(D44="Deteriorating",G44=""),"ACTION REQUIRED ","")&amp;IF(AND(C44="Intervention required",ISNUMBER(I44),I44&lt;ReviewDate),"ESCALATION TRIGGERED ","")&amp;IF(AND(OR(C44="Unknown",C44=""),ISNUMBER(Commitment),Commitment&lt;=ReviewDate+Horizon),"EVIDENCE GAP BEFORE COMMITMENT ","")&amp;IF(AND(G44&lt;&gt;"",OR(H44="",I44="")),"ACTION OWNER OR DATE MISSING ",""))</f>
        <v/>
      </c>
      <c r="G44" s="8"/>
      <c r="H44" s="8"/>
      <c r="I44" s="9"/>
      <c r="J44" s="8"/>
      <c r="K44" s="9"/>
      <c r="L44" s="8"/>
      <c r="M44" s="8"/>
      <c r="N44" s="8"/>
      <c r="O44" s="8"/>
      <c r="P44" s="11" t="str">
        <f t="shared" si="2"/>
        <v/>
      </c>
      <c r="Q44" s="11" t="str">
        <f t="shared" si="3"/>
        <v/>
      </c>
    </row>
    <row r="45" spans="1:17" ht="60" customHeight="1">
      <c r="A45" s="8"/>
      <c r="B45" s="8"/>
      <c r="C45" s="8"/>
      <c r="D45" s="8"/>
      <c r="E45" s="8"/>
      <c r="F45" s="20" t="str">
        <f>IF(A45="","",IF(COUNTIF('03 - HEALTH REVIEW'!$A$9:$A$58,A45)&gt;1,"DUPLICATE ID ","")&amp;IF(ReviewDate="","SET REVIEW DATE ","")&amp;IF(C45="Intervention required","INTERVENTION REQUIRED ","")&amp;IF(C45="","CONDITION MISSING ","")&amp;IF(E45="","CONFIDENCE MISSING ","")&amp;IF(AND(C45="Within tolerance",E45="Low"),"LOW-EVIDENCE HEALTH CLAIM ","")&amp;IF(AND(D45="Deteriorating",G45=""),"ACTION REQUIRED ","")&amp;IF(AND(C45="Intervention required",ISNUMBER(I45),I45&lt;ReviewDate),"ESCALATION TRIGGERED ","")&amp;IF(AND(OR(C45="Unknown",C45=""),ISNUMBER(Commitment),Commitment&lt;=ReviewDate+Horizon),"EVIDENCE GAP BEFORE COMMITMENT ","")&amp;IF(AND(G45&lt;&gt;"",OR(H45="",I45="")),"ACTION OWNER OR DATE MISSING ",""))</f>
        <v/>
      </c>
      <c r="G45" s="8"/>
      <c r="H45" s="8"/>
      <c r="I45" s="9"/>
      <c r="J45" s="8"/>
      <c r="K45" s="9"/>
      <c r="L45" s="8"/>
      <c r="M45" s="8"/>
      <c r="N45" s="8"/>
      <c r="O45" s="8"/>
      <c r="P45" s="11" t="str">
        <f t="shared" si="2"/>
        <v/>
      </c>
      <c r="Q45" s="11" t="str">
        <f t="shared" si="3"/>
        <v/>
      </c>
    </row>
    <row r="46" spans="1:17" ht="60" customHeight="1">
      <c r="A46" s="8"/>
      <c r="B46" s="8"/>
      <c r="C46" s="8"/>
      <c r="D46" s="8"/>
      <c r="E46" s="8"/>
      <c r="F46" s="20" t="str">
        <f>IF(A46="","",IF(COUNTIF('03 - HEALTH REVIEW'!$A$9:$A$58,A46)&gt;1,"DUPLICATE ID ","")&amp;IF(ReviewDate="","SET REVIEW DATE ","")&amp;IF(C46="Intervention required","INTERVENTION REQUIRED ","")&amp;IF(C46="","CONDITION MISSING ","")&amp;IF(E46="","CONFIDENCE MISSING ","")&amp;IF(AND(C46="Within tolerance",E46="Low"),"LOW-EVIDENCE HEALTH CLAIM ","")&amp;IF(AND(D46="Deteriorating",G46=""),"ACTION REQUIRED ","")&amp;IF(AND(C46="Intervention required",ISNUMBER(I46),I46&lt;ReviewDate),"ESCALATION TRIGGERED ","")&amp;IF(AND(OR(C46="Unknown",C46=""),ISNUMBER(Commitment),Commitment&lt;=ReviewDate+Horizon),"EVIDENCE GAP BEFORE COMMITMENT ","")&amp;IF(AND(G46&lt;&gt;"",OR(H46="",I46="")),"ACTION OWNER OR DATE MISSING ",""))</f>
        <v/>
      </c>
      <c r="G46" s="8"/>
      <c r="H46" s="8"/>
      <c r="I46" s="9"/>
      <c r="J46" s="8"/>
      <c r="K46" s="9"/>
      <c r="L46" s="8"/>
      <c r="M46" s="8"/>
      <c r="N46" s="8"/>
      <c r="O46" s="8"/>
      <c r="P46" s="11" t="str">
        <f t="shared" si="2"/>
        <v/>
      </c>
      <c r="Q46" s="11" t="str">
        <f t="shared" si="3"/>
        <v/>
      </c>
    </row>
    <row r="47" spans="1:17" ht="60" customHeight="1">
      <c r="A47" s="8"/>
      <c r="B47" s="8"/>
      <c r="C47" s="8"/>
      <c r="D47" s="8"/>
      <c r="E47" s="8"/>
      <c r="F47" s="20" t="str">
        <f>IF(A47="","",IF(COUNTIF('03 - HEALTH REVIEW'!$A$9:$A$58,A47)&gt;1,"DUPLICATE ID ","")&amp;IF(ReviewDate="","SET REVIEW DATE ","")&amp;IF(C47="Intervention required","INTERVENTION REQUIRED ","")&amp;IF(C47="","CONDITION MISSING ","")&amp;IF(E47="","CONFIDENCE MISSING ","")&amp;IF(AND(C47="Within tolerance",E47="Low"),"LOW-EVIDENCE HEALTH CLAIM ","")&amp;IF(AND(D47="Deteriorating",G47=""),"ACTION REQUIRED ","")&amp;IF(AND(C47="Intervention required",ISNUMBER(I47),I47&lt;ReviewDate),"ESCALATION TRIGGERED ","")&amp;IF(AND(OR(C47="Unknown",C47=""),ISNUMBER(Commitment),Commitment&lt;=ReviewDate+Horizon),"EVIDENCE GAP BEFORE COMMITMENT ","")&amp;IF(AND(G47&lt;&gt;"",OR(H47="",I47="")),"ACTION OWNER OR DATE MISSING ",""))</f>
        <v/>
      </c>
      <c r="G47" s="8"/>
      <c r="H47" s="8"/>
      <c r="I47" s="9"/>
      <c r="J47" s="8"/>
      <c r="K47" s="9"/>
      <c r="L47" s="8"/>
      <c r="M47" s="8"/>
      <c r="N47" s="8"/>
      <c r="O47" s="8"/>
      <c r="P47" s="11" t="str">
        <f t="shared" si="2"/>
        <v/>
      </c>
      <c r="Q47" s="11" t="str">
        <f t="shared" si="3"/>
        <v/>
      </c>
    </row>
    <row r="48" spans="1:17" ht="60" customHeight="1">
      <c r="A48" s="8"/>
      <c r="B48" s="8"/>
      <c r="C48" s="8"/>
      <c r="D48" s="8"/>
      <c r="E48" s="8"/>
      <c r="F48" s="20" t="str">
        <f>IF(A48="","",IF(COUNTIF('03 - HEALTH REVIEW'!$A$9:$A$58,A48)&gt;1,"DUPLICATE ID ","")&amp;IF(ReviewDate="","SET REVIEW DATE ","")&amp;IF(C48="Intervention required","INTERVENTION REQUIRED ","")&amp;IF(C48="","CONDITION MISSING ","")&amp;IF(E48="","CONFIDENCE MISSING ","")&amp;IF(AND(C48="Within tolerance",E48="Low"),"LOW-EVIDENCE HEALTH CLAIM ","")&amp;IF(AND(D48="Deteriorating",G48=""),"ACTION REQUIRED ","")&amp;IF(AND(C48="Intervention required",ISNUMBER(I48),I48&lt;ReviewDate),"ESCALATION TRIGGERED ","")&amp;IF(AND(OR(C48="Unknown",C48=""),ISNUMBER(Commitment),Commitment&lt;=ReviewDate+Horizon),"EVIDENCE GAP BEFORE COMMITMENT ","")&amp;IF(AND(G48&lt;&gt;"",OR(H48="",I48="")),"ACTION OWNER OR DATE MISSING ",""))</f>
        <v/>
      </c>
      <c r="G48" s="8"/>
      <c r="H48" s="8"/>
      <c r="I48" s="9"/>
      <c r="J48" s="8"/>
      <c r="K48" s="9"/>
      <c r="L48" s="8"/>
      <c r="M48" s="8"/>
      <c r="N48" s="8"/>
      <c r="O48" s="8"/>
      <c r="P48" s="11" t="str">
        <f t="shared" si="2"/>
        <v/>
      </c>
      <c r="Q48" s="11" t="str">
        <f t="shared" si="3"/>
        <v/>
      </c>
    </row>
    <row r="49" spans="1:17" ht="60" customHeight="1">
      <c r="A49" s="8"/>
      <c r="B49" s="8"/>
      <c r="C49" s="8"/>
      <c r="D49" s="8"/>
      <c r="E49" s="8"/>
      <c r="F49" s="20" t="str">
        <f>IF(A49="","",IF(COUNTIF('03 - HEALTH REVIEW'!$A$9:$A$58,A49)&gt;1,"DUPLICATE ID ","")&amp;IF(ReviewDate="","SET REVIEW DATE ","")&amp;IF(C49="Intervention required","INTERVENTION REQUIRED ","")&amp;IF(C49="","CONDITION MISSING ","")&amp;IF(E49="","CONFIDENCE MISSING ","")&amp;IF(AND(C49="Within tolerance",E49="Low"),"LOW-EVIDENCE HEALTH CLAIM ","")&amp;IF(AND(D49="Deteriorating",G49=""),"ACTION REQUIRED ","")&amp;IF(AND(C49="Intervention required",ISNUMBER(I49),I49&lt;ReviewDate),"ESCALATION TRIGGERED ","")&amp;IF(AND(OR(C49="Unknown",C49=""),ISNUMBER(Commitment),Commitment&lt;=ReviewDate+Horizon),"EVIDENCE GAP BEFORE COMMITMENT ","")&amp;IF(AND(G49&lt;&gt;"",OR(H49="",I49="")),"ACTION OWNER OR DATE MISSING ",""))</f>
        <v/>
      </c>
      <c r="G49" s="8"/>
      <c r="H49" s="8"/>
      <c r="I49" s="9"/>
      <c r="J49" s="8"/>
      <c r="K49" s="9"/>
      <c r="L49" s="8"/>
      <c r="M49" s="8"/>
      <c r="N49" s="8"/>
      <c r="O49" s="8"/>
      <c r="P49" s="11" t="str">
        <f t="shared" si="2"/>
        <v/>
      </c>
      <c r="Q49" s="11" t="str">
        <f t="shared" si="3"/>
        <v/>
      </c>
    </row>
    <row r="50" spans="1:17" ht="60" customHeight="1">
      <c r="A50" s="8"/>
      <c r="B50" s="8"/>
      <c r="C50" s="8"/>
      <c r="D50" s="8"/>
      <c r="E50" s="8"/>
      <c r="F50" s="20" t="str">
        <f>IF(A50="","",IF(COUNTIF('03 - HEALTH REVIEW'!$A$9:$A$58,A50)&gt;1,"DUPLICATE ID ","")&amp;IF(ReviewDate="","SET REVIEW DATE ","")&amp;IF(C50="Intervention required","INTERVENTION REQUIRED ","")&amp;IF(C50="","CONDITION MISSING ","")&amp;IF(E50="","CONFIDENCE MISSING ","")&amp;IF(AND(C50="Within tolerance",E50="Low"),"LOW-EVIDENCE HEALTH CLAIM ","")&amp;IF(AND(D50="Deteriorating",G50=""),"ACTION REQUIRED ","")&amp;IF(AND(C50="Intervention required",ISNUMBER(I50),I50&lt;ReviewDate),"ESCALATION TRIGGERED ","")&amp;IF(AND(OR(C50="Unknown",C50=""),ISNUMBER(Commitment),Commitment&lt;=ReviewDate+Horizon),"EVIDENCE GAP BEFORE COMMITMENT ","")&amp;IF(AND(G50&lt;&gt;"",OR(H50="",I50="")),"ACTION OWNER OR DATE MISSING ",""))</f>
        <v/>
      </c>
      <c r="G50" s="8"/>
      <c r="H50" s="8"/>
      <c r="I50" s="9"/>
      <c r="J50" s="8"/>
      <c r="K50" s="9"/>
      <c r="L50" s="8"/>
      <c r="M50" s="8"/>
      <c r="N50" s="8"/>
      <c r="O50" s="8"/>
      <c r="P50" s="11" t="str">
        <f t="shared" si="2"/>
        <v/>
      </c>
      <c r="Q50" s="11" t="str">
        <f t="shared" si="3"/>
        <v/>
      </c>
    </row>
    <row r="51" spans="1:17" ht="60" customHeight="1">
      <c r="A51" s="8"/>
      <c r="B51" s="8"/>
      <c r="C51" s="8"/>
      <c r="D51" s="8"/>
      <c r="E51" s="8"/>
      <c r="F51" s="20" t="str">
        <f>IF(A51="","",IF(COUNTIF('03 - HEALTH REVIEW'!$A$9:$A$58,A51)&gt;1,"DUPLICATE ID ","")&amp;IF(ReviewDate="","SET REVIEW DATE ","")&amp;IF(C51="Intervention required","INTERVENTION REQUIRED ","")&amp;IF(C51="","CONDITION MISSING ","")&amp;IF(E51="","CONFIDENCE MISSING ","")&amp;IF(AND(C51="Within tolerance",E51="Low"),"LOW-EVIDENCE HEALTH CLAIM ","")&amp;IF(AND(D51="Deteriorating",G51=""),"ACTION REQUIRED ","")&amp;IF(AND(C51="Intervention required",ISNUMBER(I51),I51&lt;ReviewDate),"ESCALATION TRIGGERED ","")&amp;IF(AND(OR(C51="Unknown",C51=""),ISNUMBER(Commitment),Commitment&lt;=ReviewDate+Horizon),"EVIDENCE GAP BEFORE COMMITMENT ","")&amp;IF(AND(G51&lt;&gt;"",OR(H51="",I51="")),"ACTION OWNER OR DATE MISSING ",""))</f>
        <v/>
      </c>
      <c r="G51" s="8"/>
      <c r="H51" s="8"/>
      <c r="I51" s="9"/>
      <c r="J51" s="8"/>
      <c r="K51" s="9"/>
      <c r="L51" s="8"/>
      <c r="M51" s="8"/>
      <c r="N51" s="8"/>
      <c r="O51" s="8"/>
      <c r="P51" s="11" t="str">
        <f t="shared" si="2"/>
        <v/>
      </c>
      <c r="Q51" s="11" t="str">
        <f t="shared" si="3"/>
        <v/>
      </c>
    </row>
    <row r="52" spans="1:17" ht="60" customHeight="1">
      <c r="A52" s="8"/>
      <c r="B52" s="8"/>
      <c r="C52" s="8"/>
      <c r="D52" s="8"/>
      <c r="E52" s="8"/>
      <c r="F52" s="20" t="str">
        <f>IF(A52="","",IF(COUNTIF('03 - HEALTH REVIEW'!$A$9:$A$58,A52)&gt;1,"DUPLICATE ID ","")&amp;IF(ReviewDate="","SET REVIEW DATE ","")&amp;IF(C52="Intervention required","INTERVENTION REQUIRED ","")&amp;IF(C52="","CONDITION MISSING ","")&amp;IF(E52="","CONFIDENCE MISSING ","")&amp;IF(AND(C52="Within tolerance",E52="Low"),"LOW-EVIDENCE HEALTH CLAIM ","")&amp;IF(AND(D52="Deteriorating",G52=""),"ACTION REQUIRED ","")&amp;IF(AND(C52="Intervention required",ISNUMBER(I52),I52&lt;ReviewDate),"ESCALATION TRIGGERED ","")&amp;IF(AND(OR(C52="Unknown",C52=""),ISNUMBER(Commitment),Commitment&lt;=ReviewDate+Horizon),"EVIDENCE GAP BEFORE COMMITMENT ","")&amp;IF(AND(G52&lt;&gt;"",OR(H52="",I52="")),"ACTION OWNER OR DATE MISSING ",""))</f>
        <v/>
      </c>
      <c r="G52" s="8"/>
      <c r="H52" s="8"/>
      <c r="I52" s="9"/>
      <c r="J52" s="8"/>
      <c r="K52" s="9"/>
      <c r="L52" s="8"/>
      <c r="M52" s="8"/>
      <c r="N52" s="8"/>
      <c r="O52" s="8"/>
      <c r="P52" s="11" t="str">
        <f t="shared" si="2"/>
        <v/>
      </c>
      <c r="Q52" s="11" t="str">
        <f t="shared" si="3"/>
        <v/>
      </c>
    </row>
    <row r="53" spans="1:17" ht="60" customHeight="1">
      <c r="A53" s="8"/>
      <c r="B53" s="8"/>
      <c r="C53" s="8"/>
      <c r="D53" s="8"/>
      <c r="E53" s="8"/>
      <c r="F53" s="20" t="str">
        <f>IF(A53="","",IF(COUNTIF('03 - HEALTH REVIEW'!$A$9:$A$58,A53)&gt;1,"DUPLICATE ID ","")&amp;IF(ReviewDate="","SET REVIEW DATE ","")&amp;IF(C53="Intervention required","INTERVENTION REQUIRED ","")&amp;IF(C53="","CONDITION MISSING ","")&amp;IF(E53="","CONFIDENCE MISSING ","")&amp;IF(AND(C53="Within tolerance",E53="Low"),"LOW-EVIDENCE HEALTH CLAIM ","")&amp;IF(AND(D53="Deteriorating",G53=""),"ACTION REQUIRED ","")&amp;IF(AND(C53="Intervention required",ISNUMBER(I53),I53&lt;ReviewDate),"ESCALATION TRIGGERED ","")&amp;IF(AND(OR(C53="Unknown",C53=""),ISNUMBER(Commitment),Commitment&lt;=ReviewDate+Horizon),"EVIDENCE GAP BEFORE COMMITMENT ","")&amp;IF(AND(G53&lt;&gt;"",OR(H53="",I53="")),"ACTION OWNER OR DATE MISSING ",""))</f>
        <v/>
      </c>
      <c r="G53" s="8"/>
      <c r="H53" s="8"/>
      <c r="I53" s="9"/>
      <c r="J53" s="8"/>
      <c r="K53" s="9"/>
      <c r="L53" s="8"/>
      <c r="M53" s="8"/>
      <c r="N53" s="8"/>
      <c r="O53" s="8"/>
      <c r="P53" s="11" t="str">
        <f t="shared" si="2"/>
        <v/>
      </c>
      <c r="Q53" s="11" t="str">
        <f t="shared" si="3"/>
        <v/>
      </c>
    </row>
    <row r="54" spans="1:17" ht="60" customHeight="1">
      <c r="A54" s="8"/>
      <c r="B54" s="8"/>
      <c r="C54" s="8"/>
      <c r="D54" s="8"/>
      <c r="E54" s="8"/>
      <c r="F54" s="20" t="str">
        <f>IF(A54="","",IF(COUNTIF('03 - HEALTH REVIEW'!$A$9:$A$58,A54)&gt;1,"DUPLICATE ID ","")&amp;IF(ReviewDate="","SET REVIEW DATE ","")&amp;IF(C54="Intervention required","INTERVENTION REQUIRED ","")&amp;IF(C54="","CONDITION MISSING ","")&amp;IF(E54="","CONFIDENCE MISSING ","")&amp;IF(AND(C54="Within tolerance",E54="Low"),"LOW-EVIDENCE HEALTH CLAIM ","")&amp;IF(AND(D54="Deteriorating",G54=""),"ACTION REQUIRED ","")&amp;IF(AND(C54="Intervention required",ISNUMBER(I54),I54&lt;ReviewDate),"ESCALATION TRIGGERED ","")&amp;IF(AND(OR(C54="Unknown",C54=""),ISNUMBER(Commitment),Commitment&lt;=ReviewDate+Horizon),"EVIDENCE GAP BEFORE COMMITMENT ","")&amp;IF(AND(G54&lt;&gt;"",OR(H54="",I54="")),"ACTION OWNER OR DATE MISSING ",""))</f>
        <v/>
      </c>
      <c r="G54" s="8"/>
      <c r="H54" s="8"/>
      <c r="I54" s="9"/>
      <c r="J54" s="8"/>
      <c r="K54" s="9"/>
      <c r="L54" s="8"/>
      <c r="M54" s="8"/>
      <c r="N54" s="8"/>
      <c r="O54" s="8"/>
      <c r="P54" s="11" t="str">
        <f t="shared" si="2"/>
        <v/>
      </c>
      <c r="Q54" s="11" t="str">
        <f t="shared" si="3"/>
        <v/>
      </c>
    </row>
    <row r="55" spans="1:17" ht="60" customHeight="1">
      <c r="A55" s="8"/>
      <c r="B55" s="8"/>
      <c r="C55" s="8"/>
      <c r="D55" s="8"/>
      <c r="E55" s="8"/>
      <c r="F55" s="20" t="str">
        <f>IF(A55="","",IF(COUNTIF('03 - HEALTH REVIEW'!$A$9:$A$58,A55)&gt;1,"DUPLICATE ID ","")&amp;IF(ReviewDate="","SET REVIEW DATE ","")&amp;IF(C55="Intervention required","INTERVENTION REQUIRED ","")&amp;IF(C55="","CONDITION MISSING ","")&amp;IF(E55="","CONFIDENCE MISSING ","")&amp;IF(AND(C55="Within tolerance",E55="Low"),"LOW-EVIDENCE HEALTH CLAIM ","")&amp;IF(AND(D55="Deteriorating",G55=""),"ACTION REQUIRED ","")&amp;IF(AND(C55="Intervention required",ISNUMBER(I55),I55&lt;ReviewDate),"ESCALATION TRIGGERED ","")&amp;IF(AND(OR(C55="Unknown",C55=""),ISNUMBER(Commitment),Commitment&lt;=ReviewDate+Horizon),"EVIDENCE GAP BEFORE COMMITMENT ","")&amp;IF(AND(G55&lt;&gt;"",OR(H55="",I55="")),"ACTION OWNER OR DATE MISSING ",""))</f>
        <v/>
      </c>
      <c r="G55" s="8"/>
      <c r="H55" s="8"/>
      <c r="I55" s="9"/>
      <c r="J55" s="8"/>
      <c r="K55" s="9"/>
      <c r="L55" s="8"/>
      <c r="M55" s="8"/>
      <c r="N55" s="8"/>
      <c r="O55" s="8"/>
      <c r="P55" s="11" t="str">
        <f t="shared" si="2"/>
        <v/>
      </c>
      <c r="Q55" s="11" t="str">
        <f t="shared" si="3"/>
        <v/>
      </c>
    </row>
    <row r="56" spans="1:17" ht="60" customHeight="1">
      <c r="A56" s="8"/>
      <c r="B56" s="8"/>
      <c r="C56" s="8"/>
      <c r="D56" s="8"/>
      <c r="E56" s="8"/>
      <c r="F56" s="20" t="str">
        <f>IF(A56="","",IF(COUNTIF('03 - HEALTH REVIEW'!$A$9:$A$58,A56)&gt;1,"DUPLICATE ID ","")&amp;IF(ReviewDate="","SET REVIEW DATE ","")&amp;IF(C56="Intervention required","INTERVENTION REQUIRED ","")&amp;IF(C56="","CONDITION MISSING ","")&amp;IF(E56="","CONFIDENCE MISSING ","")&amp;IF(AND(C56="Within tolerance",E56="Low"),"LOW-EVIDENCE HEALTH CLAIM ","")&amp;IF(AND(D56="Deteriorating",G56=""),"ACTION REQUIRED ","")&amp;IF(AND(C56="Intervention required",ISNUMBER(I56),I56&lt;ReviewDate),"ESCALATION TRIGGERED ","")&amp;IF(AND(OR(C56="Unknown",C56=""),ISNUMBER(Commitment),Commitment&lt;=ReviewDate+Horizon),"EVIDENCE GAP BEFORE COMMITMENT ","")&amp;IF(AND(G56&lt;&gt;"",OR(H56="",I56="")),"ACTION OWNER OR DATE MISSING ",""))</f>
        <v/>
      </c>
      <c r="G56" s="8"/>
      <c r="H56" s="8"/>
      <c r="I56" s="9"/>
      <c r="J56" s="8"/>
      <c r="K56" s="9"/>
      <c r="L56" s="8"/>
      <c r="M56" s="8"/>
      <c r="N56" s="8"/>
      <c r="O56" s="8"/>
      <c r="P56" s="11" t="str">
        <f t="shared" si="2"/>
        <v/>
      </c>
      <c r="Q56" s="11" t="str">
        <f t="shared" si="3"/>
        <v/>
      </c>
    </row>
    <row r="57" spans="1:17" ht="60" customHeight="1">
      <c r="A57" s="8"/>
      <c r="B57" s="8"/>
      <c r="C57" s="8"/>
      <c r="D57" s="8"/>
      <c r="E57" s="8"/>
      <c r="F57" s="20" t="str">
        <f>IF(A57="","",IF(COUNTIF('03 - HEALTH REVIEW'!$A$9:$A$58,A57)&gt;1,"DUPLICATE ID ","")&amp;IF(ReviewDate="","SET REVIEW DATE ","")&amp;IF(C57="Intervention required","INTERVENTION REQUIRED ","")&amp;IF(C57="","CONDITION MISSING ","")&amp;IF(E57="","CONFIDENCE MISSING ","")&amp;IF(AND(C57="Within tolerance",E57="Low"),"LOW-EVIDENCE HEALTH CLAIM ","")&amp;IF(AND(D57="Deteriorating",G57=""),"ACTION REQUIRED ","")&amp;IF(AND(C57="Intervention required",ISNUMBER(I57),I57&lt;ReviewDate),"ESCALATION TRIGGERED ","")&amp;IF(AND(OR(C57="Unknown",C57=""),ISNUMBER(Commitment),Commitment&lt;=ReviewDate+Horizon),"EVIDENCE GAP BEFORE COMMITMENT ","")&amp;IF(AND(G57&lt;&gt;"",OR(H57="",I57="")),"ACTION OWNER OR DATE MISSING ",""))</f>
        <v/>
      </c>
      <c r="G57" s="8"/>
      <c r="H57" s="8"/>
      <c r="I57" s="9"/>
      <c r="J57" s="8"/>
      <c r="K57" s="9"/>
      <c r="L57" s="8"/>
      <c r="M57" s="8"/>
      <c r="N57" s="8"/>
      <c r="O57" s="8"/>
      <c r="P57" s="11" t="str">
        <f t="shared" si="2"/>
        <v/>
      </c>
      <c r="Q57" s="11" t="str">
        <f t="shared" si="3"/>
        <v/>
      </c>
    </row>
    <row r="58" spans="1:17" ht="60" customHeight="1">
      <c r="A58" s="8"/>
      <c r="B58" s="8"/>
      <c r="C58" s="8"/>
      <c r="D58" s="8"/>
      <c r="E58" s="8"/>
      <c r="F58" s="20" t="str">
        <f>IF(A58="","",IF(COUNTIF('03 - HEALTH REVIEW'!$A$9:$A$58,A58)&gt;1,"DUPLICATE ID ","")&amp;IF(ReviewDate="","SET REVIEW DATE ","")&amp;IF(C58="Intervention required","INTERVENTION REQUIRED ","")&amp;IF(C58="","CONDITION MISSING ","")&amp;IF(E58="","CONFIDENCE MISSING ","")&amp;IF(AND(C58="Within tolerance",E58="Low"),"LOW-EVIDENCE HEALTH CLAIM ","")&amp;IF(AND(D58="Deteriorating",G58=""),"ACTION REQUIRED ","")&amp;IF(AND(C58="Intervention required",ISNUMBER(I58),I58&lt;ReviewDate),"ESCALATION TRIGGERED ","")&amp;IF(AND(OR(C58="Unknown",C58=""),ISNUMBER(Commitment),Commitment&lt;=ReviewDate+Horizon),"EVIDENCE GAP BEFORE COMMITMENT ","")&amp;IF(AND(G58&lt;&gt;"",OR(H58="",I58="")),"ACTION OWNER OR DATE MISSING ",""))</f>
        <v/>
      </c>
      <c r="G58" s="8"/>
      <c r="H58" s="8"/>
      <c r="I58" s="9"/>
      <c r="J58" s="8"/>
      <c r="K58" s="9"/>
      <c r="L58" s="8"/>
      <c r="M58" s="8"/>
      <c r="N58" s="8"/>
      <c r="O58" s="8"/>
      <c r="P58" s="11" t="str">
        <f t="shared" si="2"/>
        <v/>
      </c>
      <c r="Q58" s="11" t="str">
        <f t="shared" si="3"/>
        <v/>
      </c>
    </row>
    <row r="59" spans="1:17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</sheetData>
  <mergeCells count="1">
    <mergeCell ref="A4:J4"/>
  </mergeCells>
  <conditionalFormatting sqref="C9:C58">
    <cfRule type="containsText" dxfId="18" priority="3" operator="containsText" text="Intervention required"/>
  </conditionalFormatting>
  <conditionalFormatting sqref="F9:F58">
    <cfRule type="containsText" dxfId="17" priority="1" operator="containsText" text="MISSING"/>
  </conditionalFormatting>
  <conditionalFormatting sqref="P9:P58">
    <cfRule type="containsText" dxfId="16" priority="2" operator="containsText" text="Critical"/>
  </conditionalFormatting>
  <dataValidations count="3">
    <dataValidation type="list" sqref="C9:C58" xr:uid="{00000000-0002-0000-0300-000000000000}">
      <formula1>Condition</formula1>
    </dataValidation>
    <dataValidation type="list" sqref="D9:D58" xr:uid="{00000000-0002-0000-0300-000001000000}">
      <formula1>Trajectory</formula1>
    </dataValidation>
    <dataValidation type="list" sqref="E9:E58" xr:uid="{00000000-0002-0000-0300-000002000000}">
      <formula1>Confidence</formula1>
    </dataValidation>
  </dataValidations>
  <hyperlinks>
    <hyperlink ref="A6" location="'00 - START HERE'!A1" display="Start here" xr:uid="{00000000-0004-0000-03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7C78"/>
  </sheetPr>
  <dimension ref="A1:AM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12" width="20" customWidth="1"/>
    <col min="13" max="14" width="32" customWidth="1"/>
    <col min="15" max="15" width="20" customWidth="1"/>
    <col min="16" max="18" width="32" customWidth="1"/>
    <col min="19" max="23" width="20" customWidth="1"/>
    <col min="24" max="24" width="32" customWidth="1"/>
    <col min="25" max="39" width="20" customWidth="1"/>
  </cols>
  <sheetData>
    <row r="1" spans="1:39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32.1" customHeight="1">
      <c r="A2" s="2" t="s">
        <v>189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3.950000000000003" customHeight="1">
      <c r="A4" s="21" t="s">
        <v>190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32.1" customHeight="1">
      <c r="A6" s="4" t="s">
        <v>2</v>
      </c>
      <c r="B6" s="1"/>
      <c r="C6" s="21" t="str">
        <f>"Open decisions: "&amp;COUNTIF('04 - DECISION LOG'!$C$9:$C$58,"Open")+COUNTIF('04 - DECISION LOG'!$C$9:$C$58,"Deferred")&amp;". Oldest actionable age: "&amp;MAX('04 - DECISION LOG'!$AH$9:$AH$58)&amp;" days. Overdue: "&amp;COUNTIF('04 - DECISION LOG'!$AK$9:$AK$58,"&gt;0")</f>
        <v>Open decisions: 1. Oldest actionable age: 18 days. Overdue: 0</v>
      </c>
      <c r="D6" s="21"/>
      <c r="E6" s="21"/>
      <c r="F6" s="21"/>
      <c r="G6" s="21"/>
      <c r="H6" s="21"/>
      <c r="I6" s="21"/>
      <c r="J6" s="21"/>
      <c r="K6" s="1" t="str">
        <f>"Rows missing an ID: "&amp;SUMPRODUCT(--('04 - DECISION LOG'!$A$9:$A$58=""),--('04 - DECISION LOG'!$B$9:$B$58&lt;&gt;""))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33.950000000000003" customHeight="1">
      <c r="A8" s="5" t="s">
        <v>131</v>
      </c>
      <c r="B8" s="5" t="s">
        <v>118</v>
      </c>
      <c r="C8" s="5" t="s">
        <v>191</v>
      </c>
      <c r="D8" s="5" t="s">
        <v>108</v>
      </c>
      <c r="E8" s="5" t="s">
        <v>192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121</v>
      </c>
      <c r="K8" s="5" t="s">
        <v>193</v>
      </c>
      <c r="L8" s="5" t="s">
        <v>194</v>
      </c>
      <c r="M8" s="5" t="s">
        <v>195</v>
      </c>
      <c r="N8" s="5" t="s">
        <v>196</v>
      </c>
      <c r="O8" s="5" t="s">
        <v>197</v>
      </c>
      <c r="P8" s="5" t="s">
        <v>198</v>
      </c>
      <c r="Q8" s="5" t="s">
        <v>199</v>
      </c>
      <c r="R8" s="5" t="s">
        <v>200</v>
      </c>
      <c r="S8" s="5" t="s">
        <v>201</v>
      </c>
      <c r="T8" s="5" t="s">
        <v>202</v>
      </c>
      <c r="U8" s="5" t="s">
        <v>203</v>
      </c>
      <c r="V8" s="5" t="s">
        <v>204</v>
      </c>
      <c r="W8" s="5" t="s">
        <v>205</v>
      </c>
      <c r="X8" s="5" t="s">
        <v>206</v>
      </c>
      <c r="Y8" s="5" t="s">
        <v>207</v>
      </c>
      <c r="Z8" s="5" t="s">
        <v>208</v>
      </c>
      <c r="AA8" s="5" t="s">
        <v>209</v>
      </c>
      <c r="AB8" s="5" t="s">
        <v>210</v>
      </c>
      <c r="AC8" s="5" t="s">
        <v>211</v>
      </c>
      <c r="AD8" s="5" t="s">
        <v>212</v>
      </c>
      <c r="AE8" s="5" t="s">
        <v>213</v>
      </c>
      <c r="AF8" s="5" t="s">
        <v>214</v>
      </c>
      <c r="AG8" s="5" t="s">
        <v>215</v>
      </c>
      <c r="AH8" s="5" t="s">
        <v>216</v>
      </c>
      <c r="AI8" s="5" t="s">
        <v>217</v>
      </c>
      <c r="AJ8" s="5" t="s">
        <v>218</v>
      </c>
      <c r="AK8" s="5" t="s">
        <v>219</v>
      </c>
      <c r="AL8" s="5" t="s">
        <v>220</v>
      </c>
      <c r="AM8" s="5" t="s">
        <v>221</v>
      </c>
    </row>
    <row r="9" spans="1:39" ht="52.7" customHeight="1">
      <c r="A9" s="8" t="s">
        <v>170</v>
      </c>
      <c r="B9" s="8" t="s">
        <v>222</v>
      </c>
      <c r="C9" s="8" t="s">
        <v>223</v>
      </c>
      <c r="D9" s="8" t="s">
        <v>61</v>
      </c>
      <c r="E9" s="9">
        <v>46290</v>
      </c>
      <c r="F9" s="11" t="str">
        <f t="shared" ref="F9:F40" si="0">IF(A9="","",IF(AND(OR(C9="Open",C9="Deferred"),OR(AK9&gt;0,AND(ISNUMBER(AH9),AH9&gt;=EscDays))),"Critical",IF(G9&lt;&gt;"","Review","Routine")))</f>
        <v>Critical</v>
      </c>
      <c r="G9" s="20" t="str">
        <f>IF(A9="","",IF(COUNTIF('04 - DECISION LOG'!$A$9:$A$58,A9)&gt;1,"DUPLICATE ID ","")&amp;IF(ReviewDate="","SET REVIEW DATE ","")&amp;IF(C9="","STATUS MISSING ","")&amp;IF(E9="","DEADLINE MISSING ","")&amp;IF(D9="","OWNER MISSING ","")&amp;IF(AND(OR(C9="Open",C9="Deferred"),M9=""),"ACTIONABLE DATE MISSING ","")&amp;IF(AND(OR(C9="Open",C9="Deferred"),ISNUMBER(AH9),AH9&gt;=WarnDays),"THRESHOLD EXCEEDED ","")&amp;IF(AND(OR(C9="Open",C9="Deferred"),ISNUMBER(AH9),AH9&gt;=EscDays),"ESCALATION REQUIRED ","")&amp;IF(AND(OR(C9="Open",C9="Deferred"),ISNUMBER(AJ9),AJ9&gt;=0,AJ9&lt;=Upcoming),"APPROACHING DEADLINE ","")&amp;IF(AND(OR(C9="Open",C9="Deferred"),AK9&gt;0),"DECISION OVERDUE ","")&amp;IF(AND(C9="Deferred",V9=""),"DEFERRAL WITHOUT REVIEW DATE ","")&amp;IF(AND(C9="Decided",AG9="",OR(AF9="",AF9&lt;ReviewDate)),"DECISION NOT IMPLEMENTED ","")&amp;IF(AND(NOT(OR(C9="Open",C9="Deferred")),Y9=""),"CLOSURE DATE MISSING ","")&amp;IF(AND(ISNUMBER(Y9),Y9&lt;M9),"INVALID DATE ORDER ",""))&amp;IF(AND(A9&lt;&gt;"",AM9&lt;&gt;"",AM9&lt;&gt;"Consumer accepted",AM9&lt;&gt;"Authorised removal"),"LINKED DEPENDENCY UNRESOLVED ","")</f>
        <v xml:space="preserve">THRESHOLD EXCEEDED ESCALATION REQUIRED APPROACHING DEADLINE LINKED DEPENDENCY UNRESOLVED </v>
      </c>
      <c r="H9" s="11" t="str">
        <f t="shared" ref="H9:H40" si="1">IF(A9="","",IF(F9="Critical","Escalate to named authority. Preserve original actionable date.",IF(C9="Decided","Confirm implementation and check whether the constraint was removed.","Prepare evidence and options for the accountable decision owner.")))</f>
        <v>Escalate to named authority. Preserve original actionable date.</v>
      </c>
      <c r="I9" s="8" t="s">
        <v>224</v>
      </c>
      <c r="J9" s="8" t="s">
        <v>225</v>
      </c>
      <c r="K9" s="8" t="s">
        <v>226</v>
      </c>
      <c r="L9" s="9">
        <v>46266</v>
      </c>
      <c r="M9" s="9">
        <v>46271</v>
      </c>
      <c r="N9" s="8" t="s">
        <v>227</v>
      </c>
      <c r="O9" s="8" t="s">
        <v>61</v>
      </c>
      <c r="P9" s="8" t="s">
        <v>228</v>
      </c>
      <c r="Q9" s="8" t="s">
        <v>229</v>
      </c>
      <c r="R9" s="8" t="s">
        <v>230</v>
      </c>
      <c r="S9" s="8" t="s">
        <v>231</v>
      </c>
      <c r="T9" s="8" t="s">
        <v>232</v>
      </c>
      <c r="U9" s="8">
        <v>1</v>
      </c>
      <c r="V9" s="9">
        <v>46290</v>
      </c>
      <c r="W9" s="8"/>
      <c r="X9" s="8"/>
      <c r="Y9" s="9"/>
      <c r="Z9" s="8" t="s">
        <v>59</v>
      </c>
      <c r="AA9" s="8" t="s">
        <v>233</v>
      </c>
      <c r="AB9" s="8" t="s">
        <v>234</v>
      </c>
      <c r="AC9" s="8" t="s">
        <v>165</v>
      </c>
      <c r="AD9" s="8" t="s">
        <v>235</v>
      </c>
      <c r="AE9" s="8" t="s">
        <v>184</v>
      </c>
      <c r="AF9" s="9">
        <v>46291</v>
      </c>
      <c r="AG9" s="9"/>
      <c r="AH9" s="11">
        <f t="shared" ref="AH9:AH40" si="2">IF(A9="","",IF(AND(OR(C9="Open",C9="Deferred"),ISNUMBER(M9),ISNUMBER(ReviewDate)),MAX(0,ReviewDate-M9),""))</f>
        <v>18</v>
      </c>
      <c r="AI9" s="11" t="str">
        <f t="shared" ref="AI9:AI40" si="3">IF(A9="","",IF(AND(NOT(OR(C9="Open",C9="Deferred")),ISNUMBER(Y9),ISNUMBER(M9)),Y9-M9,""))</f>
        <v/>
      </c>
      <c r="AJ9" s="11">
        <f t="shared" ref="AJ9:AJ40" si="4">IF(A9="","",IF(AND(OR(C9="Open",C9="Deferred"),ISNUMBER(E9),ISNUMBER(ReviewDate)),E9-ReviewDate,""))</f>
        <v>1</v>
      </c>
      <c r="AK9" s="11">
        <f t="shared" ref="AK9:AK40" si="5">IF(A9="","",IF(ISNUMBER(AJ9),MAX(0,-AJ9),""))</f>
        <v>0</v>
      </c>
      <c r="AL9" s="11" t="str">
        <f t="shared" ref="AL9:AL40" si="6">IF(A9="","",IF(AND(C9="Decided",ISNUMBER(Y9)),IF(ISNUMBER(AG9),AG9,ReviewDate)-Y9,""))</f>
        <v/>
      </c>
      <c r="AM9" s="11" t="str">
        <f>IF(A9="","",IF(AC9="","",IF(COUNTIF('05 - DEPENDENCIES'!$A$9:$A$58,AC9)=0,"Unknown ID",IF(COUNTIF('05 - DEPENDENCIES'!$A$9:$A$58,AC9)&gt;1,"Duplicate ID",INDEX('05 - DEPENDENCIES'!$AI$9:$AI$58,MATCH(AC9,'05 - DEPENDENCIES'!$A$9:$A$58,0))))))</f>
        <v>Unresolved</v>
      </c>
    </row>
    <row r="10" spans="1:39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IF(A10="","",IF(COUNTIF('04 - DECISION LOG'!$A$9:$A$58,A10)&gt;1,"DUPLICATE ID ","")&amp;IF(ReviewDate="","SET REVIEW DATE ","")&amp;IF(C10="","STATUS MISSING ","")&amp;IF(E10="","DEADLINE MISSING ","")&amp;IF(D10="","OWNER MISSING ","")&amp;IF(AND(OR(C10="Open",C10="Deferred"),M10=""),"ACTIONABLE DATE MISSING ","")&amp;IF(AND(OR(C10="Open",C10="Deferred"),ISNUMBER(AH10),AH10&gt;=WarnDays),"THRESHOLD EXCEEDED ","")&amp;IF(AND(OR(C10="Open",C10="Deferred"),ISNUMBER(AH10),AH10&gt;=EscDays),"ESCALATION REQUIRED ","")&amp;IF(AND(OR(C10="Open",C10="Deferred"),ISNUMBER(AJ10),AJ10&gt;=0,AJ10&lt;=Upcoming),"APPROACHING DEADLINE ","")&amp;IF(AND(OR(C10="Open",C10="Deferred"),AK10&gt;0),"DECISION OVERDUE ","")&amp;IF(AND(C10="Deferred",V10=""),"DEFERRAL WITHOUT REVIEW DATE ","")&amp;IF(AND(C10="Decided",AG10="",OR(AF10="",AF10&lt;ReviewDate)),"DECISION NOT IMPLEMENTED ","")&amp;IF(AND(NOT(OR(C10="Open",C10="Deferred")),Y10=""),"CLOSURE DATE MISSING ","")&amp;IF(AND(ISNUMBER(Y10),Y10&lt;M10),"INVALID DATE ORDER ",""))&amp;IF(AND(A10&lt;&gt;"",AM10&lt;&gt;"",AM10&lt;&gt;"Consumer accepted",AM10&lt;&gt;"Authorised removal"),"LINKED DEPENDENCY UNRESOLVED ","")</f>
        <v/>
      </c>
      <c r="H10" s="11" t="str">
        <f t="shared" si="1"/>
        <v/>
      </c>
      <c r="I10" s="8"/>
      <c r="J10" s="8"/>
      <c r="K10" s="8"/>
      <c r="L10" s="9"/>
      <c r="M10" s="9"/>
      <c r="N10" s="8"/>
      <c r="O10" s="8"/>
      <c r="P10" s="8"/>
      <c r="Q10" s="8"/>
      <c r="R10" s="8"/>
      <c r="S10" s="8"/>
      <c r="T10" s="8"/>
      <c r="U10" s="8"/>
      <c r="V10" s="9"/>
      <c r="W10" s="8"/>
      <c r="X10" s="8"/>
      <c r="Y10" s="9"/>
      <c r="Z10" s="8"/>
      <c r="AA10" s="8"/>
      <c r="AB10" s="8"/>
      <c r="AC10" s="8"/>
      <c r="AD10" s="8"/>
      <c r="AE10" s="8"/>
      <c r="AF10" s="9"/>
      <c r="AG10" s="9"/>
      <c r="AH10" s="11" t="str">
        <f t="shared" si="2"/>
        <v/>
      </c>
      <c r="AI10" s="11" t="str">
        <f t="shared" si="3"/>
        <v/>
      </c>
      <c r="AJ10" s="11" t="str">
        <f t="shared" si="4"/>
        <v/>
      </c>
      <c r="AK10" s="11" t="str">
        <f t="shared" si="5"/>
        <v/>
      </c>
      <c r="AL10" s="11" t="str">
        <f t="shared" si="6"/>
        <v/>
      </c>
      <c r="AM10" s="11" t="str">
        <f>IF(A10="","",IF(AC10="","",IF(COUNTIF('05 - DEPENDENCIES'!$A$9:$A$58,AC10)=0,"Unknown ID",IF(COUNTIF('05 - DEPENDENCIES'!$A$9:$A$58,AC10)&gt;1,"Duplicate ID",INDEX('05 - DEPENDENCIES'!$AI$9:$AI$58,MATCH(AC10,'05 - DEPENDENCIES'!$A$9:$A$58,0))))))</f>
        <v/>
      </c>
    </row>
    <row r="11" spans="1:39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IF(A11="","",IF(COUNTIF('04 - DECISION LOG'!$A$9:$A$58,A11)&gt;1,"DUPLICATE ID ","")&amp;IF(ReviewDate="","SET REVIEW DATE ","")&amp;IF(C11="","STATUS MISSING ","")&amp;IF(E11="","DEADLINE MISSING ","")&amp;IF(D11="","OWNER MISSING ","")&amp;IF(AND(OR(C11="Open",C11="Deferred"),M11=""),"ACTIONABLE DATE MISSING ","")&amp;IF(AND(OR(C11="Open",C11="Deferred"),ISNUMBER(AH11),AH11&gt;=WarnDays),"THRESHOLD EXCEEDED ","")&amp;IF(AND(OR(C11="Open",C11="Deferred"),ISNUMBER(AH11),AH11&gt;=EscDays),"ESCALATION REQUIRED ","")&amp;IF(AND(OR(C11="Open",C11="Deferred"),ISNUMBER(AJ11),AJ11&gt;=0,AJ11&lt;=Upcoming),"APPROACHING DEADLINE ","")&amp;IF(AND(OR(C11="Open",C11="Deferred"),AK11&gt;0),"DECISION OVERDUE ","")&amp;IF(AND(C11="Deferred",V11=""),"DEFERRAL WITHOUT REVIEW DATE ","")&amp;IF(AND(C11="Decided",AG11="",OR(AF11="",AF11&lt;ReviewDate)),"DECISION NOT IMPLEMENTED ","")&amp;IF(AND(NOT(OR(C11="Open",C11="Deferred")),Y11=""),"CLOSURE DATE MISSING ","")&amp;IF(AND(ISNUMBER(Y11),Y11&lt;M11),"INVALID DATE ORDER ",""))&amp;IF(AND(A11&lt;&gt;"",AM11&lt;&gt;"",AM11&lt;&gt;"Consumer accepted",AM11&lt;&gt;"Authorised removal"),"LINKED DEPENDENCY UNRESOLVED ","")</f>
        <v/>
      </c>
      <c r="H11" s="11" t="str">
        <f t="shared" si="1"/>
        <v/>
      </c>
      <c r="I11" s="8"/>
      <c r="J11" s="8"/>
      <c r="K11" s="8"/>
      <c r="L11" s="9"/>
      <c r="M11" s="9"/>
      <c r="N11" s="8"/>
      <c r="O11" s="8"/>
      <c r="P11" s="8"/>
      <c r="Q11" s="8"/>
      <c r="R11" s="8"/>
      <c r="S11" s="8"/>
      <c r="T11" s="8"/>
      <c r="U11" s="8"/>
      <c r="V11" s="9"/>
      <c r="W11" s="8"/>
      <c r="X11" s="8"/>
      <c r="Y11" s="9"/>
      <c r="Z11" s="8"/>
      <c r="AA11" s="8"/>
      <c r="AB11" s="8"/>
      <c r="AC11" s="8"/>
      <c r="AD11" s="8"/>
      <c r="AE11" s="8"/>
      <c r="AF11" s="9"/>
      <c r="AG11" s="9"/>
      <c r="AH11" s="11" t="str">
        <f t="shared" si="2"/>
        <v/>
      </c>
      <c r="AI11" s="11" t="str">
        <f t="shared" si="3"/>
        <v/>
      </c>
      <c r="AJ11" s="11" t="str">
        <f t="shared" si="4"/>
        <v/>
      </c>
      <c r="AK11" s="11" t="str">
        <f t="shared" si="5"/>
        <v/>
      </c>
      <c r="AL11" s="11" t="str">
        <f t="shared" si="6"/>
        <v/>
      </c>
      <c r="AM11" s="11" t="str">
        <f>IF(A11="","",IF(AC11="","",IF(COUNTIF('05 - DEPENDENCIES'!$A$9:$A$58,AC11)=0,"Unknown ID",IF(COUNTIF('05 - DEPENDENCIES'!$A$9:$A$58,AC11)&gt;1,"Duplicate ID",INDEX('05 - DEPENDENCIES'!$AI$9:$AI$58,MATCH(AC11,'05 - DEPENDENCIES'!$A$9:$A$58,0))))))</f>
        <v/>
      </c>
    </row>
    <row r="12" spans="1:39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IF(A12="","",IF(COUNTIF('04 - DECISION LOG'!$A$9:$A$58,A12)&gt;1,"DUPLICATE ID ","")&amp;IF(ReviewDate="","SET REVIEW DATE ","")&amp;IF(C12="","STATUS MISSING ","")&amp;IF(E12="","DEADLINE MISSING ","")&amp;IF(D12="","OWNER MISSING ","")&amp;IF(AND(OR(C12="Open",C12="Deferred"),M12=""),"ACTIONABLE DATE MISSING ","")&amp;IF(AND(OR(C12="Open",C12="Deferred"),ISNUMBER(AH12),AH12&gt;=WarnDays),"THRESHOLD EXCEEDED ","")&amp;IF(AND(OR(C12="Open",C12="Deferred"),ISNUMBER(AH12),AH12&gt;=EscDays),"ESCALATION REQUIRED ","")&amp;IF(AND(OR(C12="Open",C12="Deferred"),ISNUMBER(AJ12),AJ12&gt;=0,AJ12&lt;=Upcoming),"APPROACHING DEADLINE ","")&amp;IF(AND(OR(C12="Open",C12="Deferred"),AK12&gt;0),"DECISION OVERDUE ","")&amp;IF(AND(C12="Deferred",V12=""),"DEFERRAL WITHOUT REVIEW DATE ","")&amp;IF(AND(C12="Decided",AG12="",OR(AF12="",AF12&lt;ReviewDate)),"DECISION NOT IMPLEMENTED ","")&amp;IF(AND(NOT(OR(C12="Open",C12="Deferred")),Y12=""),"CLOSURE DATE MISSING ","")&amp;IF(AND(ISNUMBER(Y12),Y12&lt;M12),"INVALID DATE ORDER ",""))&amp;IF(AND(A12&lt;&gt;"",AM12&lt;&gt;"",AM12&lt;&gt;"Consumer accepted",AM12&lt;&gt;"Authorised removal"),"LINKED DEPENDENCY UNRESOLVED ","")</f>
        <v/>
      </c>
      <c r="H12" s="11" t="str">
        <f t="shared" si="1"/>
        <v/>
      </c>
      <c r="I12" s="8"/>
      <c r="J12" s="8"/>
      <c r="K12" s="8"/>
      <c r="L12" s="9"/>
      <c r="M12" s="9"/>
      <c r="N12" s="8"/>
      <c r="O12" s="8"/>
      <c r="P12" s="8"/>
      <c r="Q12" s="8"/>
      <c r="R12" s="8"/>
      <c r="S12" s="8"/>
      <c r="T12" s="8"/>
      <c r="U12" s="8"/>
      <c r="V12" s="9"/>
      <c r="W12" s="8"/>
      <c r="X12" s="8"/>
      <c r="Y12" s="9"/>
      <c r="Z12" s="8"/>
      <c r="AA12" s="8"/>
      <c r="AB12" s="8"/>
      <c r="AC12" s="8"/>
      <c r="AD12" s="8"/>
      <c r="AE12" s="8"/>
      <c r="AF12" s="9"/>
      <c r="AG12" s="9"/>
      <c r="AH12" s="11" t="str">
        <f t="shared" si="2"/>
        <v/>
      </c>
      <c r="AI12" s="11" t="str">
        <f t="shared" si="3"/>
        <v/>
      </c>
      <c r="AJ12" s="11" t="str">
        <f t="shared" si="4"/>
        <v/>
      </c>
      <c r="AK12" s="11" t="str">
        <f t="shared" si="5"/>
        <v/>
      </c>
      <c r="AL12" s="11" t="str">
        <f t="shared" si="6"/>
        <v/>
      </c>
      <c r="AM12" s="11" t="str">
        <f>IF(A12="","",IF(AC12="","",IF(COUNTIF('05 - DEPENDENCIES'!$A$9:$A$58,AC12)=0,"Unknown ID",IF(COUNTIF('05 - DEPENDENCIES'!$A$9:$A$58,AC12)&gt;1,"Duplicate ID",INDEX('05 - DEPENDENCIES'!$AI$9:$AI$58,MATCH(AC12,'05 - DEPENDENCIES'!$A$9:$A$58,0))))))</f>
        <v/>
      </c>
    </row>
    <row r="13" spans="1:39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IF(A13="","",IF(COUNTIF('04 - DECISION LOG'!$A$9:$A$58,A13)&gt;1,"DUPLICATE ID ","")&amp;IF(ReviewDate="","SET REVIEW DATE ","")&amp;IF(C13="","STATUS MISSING ","")&amp;IF(E13="","DEADLINE MISSING ","")&amp;IF(D13="","OWNER MISSING ","")&amp;IF(AND(OR(C13="Open",C13="Deferred"),M13=""),"ACTIONABLE DATE MISSING ","")&amp;IF(AND(OR(C13="Open",C13="Deferred"),ISNUMBER(AH13),AH13&gt;=WarnDays),"THRESHOLD EXCEEDED ","")&amp;IF(AND(OR(C13="Open",C13="Deferred"),ISNUMBER(AH13),AH13&gt;=EscDays),"ESCALATION REQUIRED ","")&amp;IF(AND(OR(C13="Open",C13="Deferred"),ISNUMBER(AJ13),AJ13&gt;=0,AJ13&lt;=Upcoming),"APPROACHING DEADLINE ","")&amp;IF(AND(OR(C13="Open",C13="Deferred"),AK13&gt;0),"DECISION OVERDUE ","")&amp;IF(AND(C13="Deferred",V13=""),"DEFERRAL WITHOUT REVIEW DATE ","")&amp;IF(AND(C13="Decided",AG13="",OR(AF13="",AF13&lt;ReviewDate)),"DECISION NOT IMPLEMENTED ","")&amp;IF(AND(NOT(OR(C13="Open",C13="Deferred")),Y13=""),"CLOSURE DATE MISSING ","")&amp;IF(AND(ISNUMBER(Y13),Y13&lt;M13),"INVALID DATE ORDER ",""))&amp;IF(AND(A13&lt;&gt;"",AM13&lt;&gt;"",AM13&lt;&gt;"Consumer accepted",AM13&lt;&gt;"Authorised removal"),"LINKED DEPENDENCY UNRESOLVED ","")</f>
        <v/>
      </c>
      <c r="H13" s="11" t="str">
        <f t="shared" si="1"/>
        <v/>
      </c>
      <c r="I13" s="8"/>
      <c r="J13" s="8"/>
      <c r="K13" s="8"/>
      <c r="L13" s="9"/>
      <c r="M13" s="9"/>
      <c r="N13" s="8"/>
      <c r="O13" s="8"/>
      <c r="P13" s="8"/>
      <c r="Q13" s="8"/>
      <c r="R13" s="8"/>
      <c r="S13" s="8"/>
      <c r="T13" s="8"/>
      <c r="U13" s="8"/>
      <c r="V13" s="9"/>
      <c r="W13" s="8"/>
      <c r="X13" s="8"/>
      <c r="Y13" s="9"/>
      <c r="Z13" s="8"/>
      <c r="AA13" s="8"/>
      <c r="AB13" s="8"/>
      <c r="AC13" s="8"/>
      <c r="AD13" s="8"/>
      <c r="AE13" s="8"/>
      <c r="AF13" s="9"/>
      <c r="AG13" s="9"/>
      <c r="AH13" s="11" t="str">
        <f t="shared" si="2"/>
        <v/>
      </c>
      <c r="AI13" s="11" t="str">
        <f t="shared" si="3"/>
        <v/>
      </c>
      <c r="AJ13" s="11" t="str">
        <f t="shared" si="4"/>
        <v/>
      </c>
      <c r="AK13" s="11" t="str">
        <f t="shared" si="5"/>
        <v/>
      </c>
      <c r="AL13" s="11" t="str">
        <f t="shared" si="6"/>
        <v/>
      </c>
      <c r="AM13" s="11" t="str">
        <f>IF(A13="","",IF(AC13="","",IF(COUNTIF('05 - DEPENDENCIES'!$A$9:$A$58,AC13)=0,"Unknown ID",IF(COUNTIF('05 - DEPENDENCIES'!$A$9:$A$58,AC13)&gt;1,"Duplicate ID",INDEX('05 - DEPENDENCIES'!$AI$9:$AI$58,MATCH(AC13,'05 - DEPENDENCIES'!$A$9:$A$58,0))))))</f>
        <v/>
      </c>
    </row>
    <row r="14" spans="1:39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IF(A14="","",IF(COUNTIF('04 - DECISION LOG'!$A$9:$A$58,A14)&gt;1,"DUPLICATE ID ","")&amp;IF(ReviewDate="","SET REVIEW DATE ","")&amp;IF(C14="","STATUS MISSING ","")&amp;IF(E14="","DEADLINE MISSING ","")&amp;IF(D14="","OWNER MISSING ","")&amp;IF(AND(OR(C14="Open",C14="Deferred"),M14=""),"ACTIONABLE DATE MISSING ","")&amp;IF(AND(OR(C14="Open",C14="Deferred"),ISNUMBER(AH14),AH14&gt;=WarnDays),"THRESHOLD EXCEEDED ","")&amp;IF(AND(OR(C14="Open",C14="Deferred"),ISNUMBER(AH14),AH14&gt;=EscDays),"ESCALATION REQUIRED ","")&amp;IF(AND(OR(C14="Open",C14="Deferred"),ISNUMBER(AJ14),AJ14&gt;=0,AJ14&lt;=Upcoming),"APPROACHING DEADLINE ","")&amp;IF(AND(OR(C14="Open",C14="Deferred"),AK14&gt;0),"DECISION OVERDUE ","")&amp;IF(AND(C14="Deferred",V14=""),"DEFERRAL WITHOUT REVIEW DATE ","")&amp;IF(AND(C14="Decided",AG14="",OR(AF14="",AF14&lt;ReviewDate)),"DECISION NOT IMPLEMENTED ","")&amp;IF(AND(NOT(OR(C14="Open",C14="Deferred")),Y14=""),"CLOSURE DATE MISSING ","")&amp;IF(AND(ISNUMBER(Y14),Y14&lt;M14),"INVALID DATE ORDER ",""))&amp;IF(AND(A14&lt;&gt;"",AM14&lt;&gt;"",AM14&lt;&gt;"Consumer accepted",AM14&lt;&gt;"Authorised removal"),"LINKED DEPENDENCY UNRESOLVED ","")</f>
        <v/>
      </c>
      <c r="H14" s="11" t="str">
        <f t="shared" si="1"/>
        <v/>
      </c>
      <c r="I14" s="8"/>
      <c r="J14" s="8"/>
      <c r="K14" s="8"/>
      <c r="L14" s="9"/>
      <c r="M14" s="9"/>
      <c r="N14" s="8"/>
      <c r="O14" s="8"/>
      <c r="P14" s="8"/>
      <c r="Q14" s="8"/>
      <c r="R14" s="8"/>
      <c r="S14" s="8"/>
      <c r="T14" s="8"/>
      <c r="U14" s="8"/>
      <c r="V14" s="9"/>
      <c r="W14" s="8"/>
      <c r="X14" s="8"/>
      <c r="Y14" s="9"/>
      <c r="Z14" s="8"/>
      <c r="AA14" s="8"/>
      <c r="AB14" s="8"/>
      <c r="AC14" s="8"/>
      <c r="AD14" s="8"/>
      <c r="AE14" s="8"/>
      <c r="AF14" s="9"/>
      <c r="AG14" s="9"/>
      <c r="AH14" s="11" t="str">
        <f t="shared" si="2"/>
        <v/>
      </c>
      <c r="AI14" s="11" t="str">
        <f t="shared" si="3"/>
        <v/>
      </c>
      <c r="AJ14" s="11" t="str">
        <f t="shared" si="4"/>
        <v/>
      </c>
      <c r="AK14" s="11" t="str">
        <f t="shared" si="5"/>
        <v/>
      </c>
      <c r="AL14" s="11" t="str">
        <f t="shared" si="6"/>
        <v/>
      </c>
      <c r="AM14" s="11" t="str">
        <f>IF(A14="","",IF(AC14="","",IF(COUNTIF('05 - DEPENDENCIES'!$A$9:$A$58,AC14)=0,"Unknown ID",IF(COUNTIF('05 - DEPENDENCIES'!$A$9:$A$58,AC14)&gt;1,"Duplicate ID",INDEX('05 - DEPENDENCIES'!$AI$9:$AI$58,MATCH(AC14,'05 - DEPENDENCIES'!$A$9:$A$58,0))))))</f>
        <v/>
      </c>
    </row>
    <row r="15" spans="1:39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IF(A15="","",IF(COUNTIF('04 - DECISION LOG'!$A$9:$A$58,A15)&gt;1,"DUPLICATE ID ","")&amp;IF(ReviewDate="","SET REVIEW DATE ","")&amp;IF(C15="","STATUS MISSING ","")&amp;IF(E15="","DEADLINE MISSING ","")&amp;IF(D15="","OWNER MISSING ","")&amp;IF(AND(OR(C15="Open",C15="Deferred"),M15=""),"ACTIONABLE DATE MISSING ","")&amp;IF(AND(OR(C15="Open",C15="Deferred"),ISNUMBER(AH15),AH15&gt;=WarnDays),"THRESHOLD EXCEEDED ","")&amp;IF(AND(OR(C15="Open",C15="Deferred"),ISNUMBER(AH15),AH15&gt;=EscDays),"ESCALATION REQUIRED ","")&amp;IF(AND(OR(C15="Open",C15="Deferred"),ISNUMBER(AJ15),AJ15&gt;=0,AJ15&lt;=Upcoming),"APPROACHING DEADLINE ","")&amp;IF(AND(OR(C15="Open",C15="Deferred"),AK15&gt;0),"DECISION OVERDUE ","")&amp;IF(AND(C15="Deferred",V15=""),"DEFERRAL WITHOUT REVIEW DATE ","")&amp;IF(AND(C15="Decided",AG15="",OR(AF15="",AF15&lt;ReviewDate)),"DECISION NOT IMPLEMENTED ","")&amp;IF(AND(NOT(OR(C15="Open",C15="Deferred")),Y15=""),"CLOSURE DATE MISSING ","")&amp;IF(AND(ISNUMBER(Y15),Y15&lt;M15),"INVALID DATE ORDER ",""))&amp;IF(AND(A15&lt;&gt;"",AM15&lt;&gt;"",AM15&lt;&gt;"Consumer accepted",AM15&lt;&gt;"Authorised removal"),"LINKED DEPENDENCY UNRESOLVED ","")</f>
        <v/>
      </c>
      <c r="H15" s="11" t="str">
        <f t="shared" si="1"/>
        <v/>
      </c>
      <c r="I15" s="8"/>
      <c r="J15" s="8"/>
      <c r="K15" s="8"/>
      <c r="L15" s="9"/>
      <c r="M15" s="9"/>
      <c r="N15" s="8"/>
      <c r="O15" s="8"/>
      <c r="P15" s="8"/>
      <c r="Q15" s="8"/>
      <c r="R15" s="8"/>
      <c r="S15" s="8"/>
      <c r="T15" s="8"/>
      <c r="U15" s="8"/>
      <c r="V15" s="9"/>
      <c r="W15" s="8"/>
      <c r="X15" s="8"/>
      <c r="Y15" s="9"/>
      <c r="Z15" s="8"/>
      <c r="AA15" s="8"/>
      <c r="AB15" s="8"/>
      <c r="AC15" s="8"/>
      <c r="AD15" s="8"/>
      <c r="AE15" s="8"/>
      <c r="AF15" s="9"/>
      <c r="AG15" s="9"/>
      <c r="AH15" s="11" t="str">
        <f t="shared" si="2"/>
        <v/>
      </c>
      <c r="AI15" s="11" t="str">
        <f t="shared" si="3"/>
        <v/>
      </c>
      <c r="AJ15" s="11" t="str">
        <f t="shared" si="4"/>
        <v/>
      </c>
      <c r="AK15" s="11" t="str">
        <f t="shared" si="5"/>
        <v/>
      </c>
      <c r="AL15" s="11" t="str">
        <f t="shared" si="6"/>
        <v/>
      </c>
      <c r="AM15" s="11" t="str">
        <f>IF(A15="","",IF(AC15="","",IF(COUNTIF('05 - DEPENDENCIES'!$A$9:$A$58,AC15)=0,"Unknown ID",IF(COUNTIF('05 - DEPENDENCIES'!$A$9:$A$58,AC15)&gt;1,"Duplicate ID",INDEX('05 - DEPENDENCIES'!$AI$9:$AI$58,MATCH(AC15,'05 - DEPENDENCIES'!$A$9:$A$58,0))))))</f>
        <v/>
      </c>
    </row>
    <row r="16" spans="1:39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IF(A16="","",IF(COUNTIF('04 - DECISION LOG'!$A$9:$A$58,A16)&gt;1,"DUPLICATE ID ","")&amp;IF(ReviewDate="","SET REVIEW DATE ","")&amp;IF(C16="","STATUS MISSING ","")&amp;IF(E16="","DEADLINE MISSING ","")&amp;IF(D16="","OWNER MISSING ","")&amp;IF(AND(OR(C16="Open",C16="Deferred"),M16=""),"ACTIONABLE DATE MISSING ","")&amp;IF(AND(OR(C16="Open",C16="Deferred"),ISNUMBER(AH16),AH16&gt;=WarnDays),"THRESHOLD EXCEEDED ","")&amp;IF(AND(OR(C16="Open",C16="Deferred"),ISNUMBER(AH16),AH16&gt;=EscDays),"ESCALATION REQUIRED ","")&amp;IF(AND(OR(C16="Open",C16="Deferred"),ISNUMBER(AJ16),AJ16&gt;=0,AJ16&lt;=Upcoming),"APPROACHING DEADLINE ","")&amp;IF(AND(OR(C16="Open",C16="Deferred"),AK16&gt;0),"DECISION OVERDUE ","")&amp;IF(AND(C16="Deferred",V16=""),"DEFERRAL WITHOUT REVIEW DATE ","")&amp;IF(AND(C16="Decided",AG16="",OR(AF16="",AF16&lt;ReviewDate)),"DECISION NOT IMPLEMENTED ","")&amp;IF(AND(NOT(OR(C16="Open",C16="Deferred")),Y16=""),"CLOSURE DATE MISSING ","")&amp;IF(AND(ISNUMBER(Y16),Y16&lt;M16),"INVALID DATE ORDER ",""))&amp;IF(AND(A16&lt;&gt;"",AM16&lt;&gt;"",AM16&lt;&gt;"Consumer accepted",AM16&lt;&gt;"Authorised removal"),"LINKED DEPENDENCY UNRESOLVED ","")</f>
        <v/>
      </c>
      <c r="H16" s="11" t="str">
        <f t="shared" si="1"/>
        <v/>
      </c>
      <c r="I16" s="8"/>
      <c r="J16" s="8"/>
      <c r="K16" s="8"/>
      <c r="L16" s="9"/>
      <c r="M16" s="9"/>
      <c r="N16" s="8"/>
      <c r="O16" s="8"/>
      <c r="P16" s="8"/>
      <c r="Q16" s="8"/>
      <c r="R16" s="8"/>
      <c r="S16" s="8"/>
      <c r="T16" s="8"/>
      <c r="U16" s="8"/>
      <c r="V16" s="9"/>
      <c r="W16" s="8"/>
      <c r="X16" s="8"/>
      <c r="Y16" s="9"/>
      <c r="Z16" s="8"/>
      <c r="AA16" s="8"/>
      <c r="AB16" s="8"/>
      <c r="AC16" s="8"/>
      <c r="AD16" s="8"/>
      <c r="AE16" s="8"/>
      <c r="AF16" s="9"/>
      <c r="AG16" s="9"/>
      <c r="AH16" s="11" t="str">
        <f t="shared" si="2"/>
        <v/>
      </c>
      <c r="AI16" s="11" t="str">
        <f t="shared" si="3"/>
        <v/>
      </c>
      <c r="AJ16" s="11" t="str">
        <f t="shared" si="4"/>
        <v/>
      </c>
      <c r="AK16" s="11" t="str">
        <f t="shared" si="5"/>
        <v/>
      </c>
      <c r="AL16" s="11" t="str">
        <f t="shared" si="6"/>
        <v/>
      </c>
      <c r="AM16" s="11" t="str">
        <f>IF(A16="","",IF(AC16="","",IF(COUNTIF('05 - DEPENDENCIES'!$A$9:$A$58,AC16)=0,"Unknown ID",IF(COUNTIF('05 - DEPENDENCIES'!$A$9:$A$58,AC16)&gt;1,"Duplicate ID",INDEX('05 - DEPENDENCIES'!$AI$9:$AI$58,MATCH(AC16,'05 - DEPENDENCIES'!$A$9:$A$58,0))))))</f>
        <v/>
      </c>
    </row>
    <row r="17" spans="1:39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IF(A17="","",IF(COUNTIF('04 - DECISION LOG'!$A$9:$A$58,A17)&gt;1,"DUPLICATE ID ","")&amp;IF(ReviewDate="","SET REVIEW DATE ","")&amp;IF(C17="","STATUS MISSING ","")&amp;IF(E17="","DEADLINE MISSING ","")&amp;IF(D17="","OWNER MISSING ","")&amp;IF(AND(OR(C17="Open",C17="Deferred"),M17=""),"ACTIONABLE DATE MISSING ","")&amp;IF(AND(OR(C17="Open",C17="Deferred"),ISNUMBER(AH17),AH17&gt;=WarnDays),"THRESHOLD EXCEEDED ","")&amp;IF(AND(OR(C17="Open",C17="Deferred"),ISNUMBER(AH17),AH17&gt;=EscDays),"ESCALATION REQUIRED ","")&amp;IF(AND(OR(C17="Open",C17="Deferred"),ISNUMBER(AJ17),AJ17&gt;=0,AJ17&lt;=Upcoming),"APPROACHING DEADLINE ","")&amp;IF(AND(OR(C17="Open",C17="Deferred"),AK17&gt;0),"DECISION OVERDUE ","")&amp;IF(AND(C17="Deferred",V17=""),"DEFERRAL WITHOUT REVIEW DATE ","")&amp;IF(AND(C17="Decided",AG17="",OR(AF17="",AF17&lt;ReviewDate)),"DECISION NOT IMPLEMENTED ","")&amp;IF(AND(NOT(OR(C17="Open",C17="Deferred")),Y17=""),"CLOSURE DATE MISSING ","")&amp;IF(AND(ISNUMBER(Y17),Y17&lt;M17),"INVALID DATE ORDER ",""))&amp;IF(AND(A17&lt;&gt;"",AM17&lt;&gt;"",AM17&lt;&gt;"Consumer accepted",AM17&lt;&gt;"Authorised removal"),"LINKED DEPENDENCY UNRESOLVED ","")</f>
        <v/>
      </c>
      <c r="H17" s="11" t="str">
        <f t="shared" si="1"/>
        <v/>
      </c>
      <c r="I17" s="8"/>
      <c r="J17" s="8"/>
      <c r="K17" s="8"/>
      <c r="L17" s="9"/>
      <c r="M17" s="9"/>
      <c r="N17" s="8"/>
      <c r="O17" s="8"/>
      <c r="P17" s="8"/>
      <c r="Q17" s="8"/>
      <c r="R17" s="8"/>
      <c r="S17" s="8"/>
      <c r="T17" s="8"/>
      <c r="U17" s="8"/>
      <c r="V17" s="9"/>
      <c r="W17" s="8"/>
      <c r="X17" s="8"/>
      <c r="Y17" s="9"/>
      <c r="Z17" s="8"/>
      <c r="AA17" s="8"/>
      <c r="AB17" s="8"/>
      <c r="AC17" s="8"/>
      <c r="AD17" s="8"/>
      <c r="AE17" s="8"/>
      <c r="AF17" s="9"/>
      <c r="AG17" s="9"/>
      <c r="AH17" s="11" t="str">
        <f t="shared" si="2"/>
        <v/>
      </c>
      <c r="AI17" s="11" t="str">
        <f t="shared" si="3"/>
        <v/>
      </c>
      <c r="AJ17" s="11" t="str">
        <f t="shared" si="4"/>
        <v/>
      </c>
      <c r="AK17" s="11" t="str">
        <f t="shared" si="5"/>
        <v/>
      </c>
      <c r="AL17" s="11" t="str">
        <f t="shared" si="6"/>
        <v/>
      </c>
      <c r="AM17" s="11" t="str">
        <f>IF(A17="","",IF(AC17="","",IF(COUNTIF('05 - DEPENDENCIES'!$A$9:$A$58,AC17)=0,"Unknown ID",IF(COUNTIF('05 - DEPENDENCIES'!$A$9:$A$58,AC17)&gt;1,"Duplicate ID",INDEX('05 - DEPENDENCIES'!$AI$9:$AI$58,MATCH(AC17,'05 - DEPENDENCIES'!$A$9:$A$58,0))))))</f>
        <v/>
      </c>
    </row>
    <row r="18" spans="1:39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IF(A18="","",IF(COUNTIF('04 - DECISION LOG'!$A$9:$A$58,A18)&gt;1,"DUPLICATE ID ","")&amp;IF(ReviewDate="","SET REVIEW DATE ","")&amp;IF(C18="","STATUS MISSING ","")&amp;IF(E18="","DEADLINE MISSING ","")&amp;IF(D18="","OWNER MISSING ","")&amp;IF(AND(OR(C18="Open",C18="Deferred"),M18=""),"ACTIONABLE DATE MISSING ","")&amp;IF(AND(OR(C18="Open",C18="Deferred"),ISNUMBER(AH18),AH18&gt;=WarnDays),"THRESHOLD EXCEEDED ","")&amp;IF(AND(OR(C18="Open",C18="Deferred"),ISNUMBER(AH18),AH18&gt;=EscDays),"ESCALATION REQUIRED ","")&amp;IF(AND(OR(C18="Open",C18="Deferred"),ISNUMBER(AJ18),AJ18&gt;=0,AJ18&lt;=Upcoming),"APPROACHING DEADLINE ","")&amp;IF(AND(OR(C18="Open",C18="Deferred"),AK18&gt;0),"DECISION OVERDUE ","")&amp;IF(AND(C18="Deferred",V18=""),"DEFERRAL WITHOUT REVIEW DATE ","")&amp;IF(AND(C18="Decided",AG18="",OR(AF18="",AF18&lt;ReviewDate)),"DECISION NOT IMPLEMENTED ","")&amp;IF(AND(NOT(OR(C18="Open",C18="Deferred")),Y18=""),"CLOSURE DATE MISSING ","")&amp;IF(AND(ISNUMBER(Y18),Y18&lt;M18),"INVALID DATE ORDER ",""))&amp;IF(AND(A18&lt;&gt;"",AM18&lt;&gt;"",AM18&lt;&gt;"Consumer accepted",AM18&lt;&gt;"Authorised removal"),"LINKED DEPENDENCY UNRESOLVED ","")</f>
        <v/>
      </c>
      <c r="H18" s="11" t="str">
        <f t="shared" si="1"/>
        <v/>
      </c>
      <c r="I18" s="8"/>
      <c r="J18" s="8"/>
      <c r="K18" s="8"/>
      <c r="L18" s="9"/>
      <c r="M18" s="9"/>
      <c r="N18" s="8"/>
      <c r="O18" s="8"/>
      <c r="P18" s="8"/>
      <c r="Q18" s="8"/>
      <c r="R18" s="8"/>
      <c r="S18" s="8"/>
      <c r="T18" s="8"/>
      <c r="U18" s="8"/>
      <c r="V18" s="9"/>
      <c r="W18" s="8"/>
      <c r="X18" s="8"/>
      <c r="Y18" s="9"/>
      <c r="Z18" s="8"/>
      <c r="AA18" s="8"/>
      <c r="AB18" s="8"/>
      <c r="AC18" s="8"/>
      <c r="AD18" s="8"/>
      <c r="AE18" s="8"/>
      <c r="AF18" s="9"/>
      <c r="AG18" s="9"/>
      <c r="AH18" s="11" t="str">
        <f t="shared" si="2"/>
        <v/>
      </c>
      <c r="AI18" s="11" t="str">
        <f t="shared" si="3"/>
        <v/>
      </c>
      <c r="AJ18" s="11" t="str">
        <f t="shared" si="4"/>
        <v/>
      </c>
      <c r="AK18" s="11" t="str">
        <f t="shared" si="5"/>
        <v/>
      </c>
      <c r="AL18" s="11" t="str">
        <f t="shared" si="6"/>
        <v/>
      </c>
      <c r="AM18" s="11" t="str">
        <f>IF(A18="","",IF(AC18="","",IF(COUNTIF('05 - DEPENDENCIES'!$A$9:$A$58,AC18)=0,"Unknown ID",IF(COUNTIF('05 - DEPENDENCIES'!$A$9:$A$58,AC18)&gt;1,"Duplicate ID",INDEX('05 - DEPENDENCIES'!$AI$9:$AI$58,MATCH(AC18,'05 - DEPENDENCIES'!$A$9:$A$58,0))))))</f>
        <v/>
      </c>
    </row>
    <row r="19" spans="1:39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IF(A19="","",IF(COUNTIF('04 - DECISION LOG'!$A$9:$A$58,A19)&gt;1,"DUPLICATE ID ","")&amp;IF(ReviewDate="","SET REVIEW DATE ","")&amp;IF(C19="","STATUS MISSING ","")&amp;IF(E19="","DEADLINE MISSING ","")&amp;IF(D19="","OWNER MISSING ","")&amp;IF(AND(OR(C19="Open",C19="Deferred"),M19=""),"ACTIONABLE DATE MISSING ","")&amp;IF(AND(OR(C19="Open",C19="Deferred"),ISNUMBER(AH19),AH19&gt;=WarnDays),"THRESHOLD EXCEEDED ","")&amp;IF(AND(OR(C19="Open",C19="Deferred"),ISNUMBER(AH19),AH19&gt;=EscDays),"ESCALATION REQUIRED ","")&amp;IF(AND(OR(C19="Open",C19="Deferred"),ISNUMBER(AJ19),AJ19&gt;=0,AJ19&lt;=Upcoming),"APPROACHING DEADLINE ","")&amp;IF(AND(OR(C19="Open",C19="Deferred"),AK19&gt;0),"DECISION OVERDUE ","")&amp;IF(AND(C19="Deferred",V19=""),"DEFERRAL WITHOUT REVIEW DATE ","")&amp;IF(AND(C19="Decided",AG19="",OR(AF19="",AF19&lt;ReviewDate)),"DECISION NOT IMPLEMENTED ","")&amp;IF(AND(NOT(OR(C19="Open",C19="Deferred")),Y19=""),"CLOSURE DATE MISSING ","")&amp;IF(AND(ISNUMBER(Y19),Y19&lt;M19),"INVALID DATE ORDER ",""))&amp;IF(AND(A19&lt;&gt;"",AM19&lt;&gt;"",AM19&lt;&gt;"Consumer accepted",AM19&lt;&gt;"Authorised removal"),"LINKED DEPENDENCY UNRESOLVED ","")</f>
        <v/>
      </c>
      <c r="H19" s="11" t="str">
        <f t="shared" si="1"/>
        <v/>
      </c>
      <c r="I19" s="8"/>
      <c r="J19" s="8"/>
      <c r="K19" s="8"/>
      <c r="L19" s="9"/>
      <c r="M19" s="9"/>
      <c r="N19" s="8"/>
      <c r="O19" s="8"/>
      <c r="P19" s="8"/>
      <c r="Q19" s="8"/>
      <c r="R19" s="8"/>
      <c r="S19" s="8"/>
      <c r="T19" s="8"/>
      <c r="U19" s="8"/>
      <c r="V19" s="9"/>
      <c r="W19" s="8"/>
      <c r="X19" s="8"/>
      <c r="Y19" s="9"/>
      <c r="Z19" s="8"/>
      <c r="AA19" s="8"/>
      <c r="AB19" s="8"/>
      <c r="AC19" s="8"/>
      <c r="AD19" s="8"/>
      <c r="AE19" s="8"/>
      <c r="AF19" s="9"/>
      <c r="AG19" s="9"/>
      <c r="AH19" s="11" t="str">
        <f t="shared" si="2"/>
        <v/>
      </c>
      <c r="AI19" s="11" t="str">
        <f t="shared" si="3"/>
        <v/>
      </c>
      <c r="AJ19" s="11" t="str">
        <f t="shared" si="4"/>
        <v/>
      </c>
      <c r="AK19" s="11" t="str">
        <f t="shared" si="5"/>
        <v/>
      </c>
      <c r="AL19" s="11" t="str">
        <f t="shared" si="6"/>
        <v/>
      </c>
      <c r="AM19" s="11" t="str">
        <f>IF(A19="","",IF(AC19="","",IF(COUNTIF('05 - DEPENDENCIES'!$A$9:$A$58,AC19)=0,"Unknown ID",IF(COUNTIF('05 - DEPENDENCIES'!$A$9:$A$58,AC19)&gt;1,"Duplicate ID",INDEX('05 - DEPENDENCIES'!$AI$9:$AI$58,MATCH(AC19,'05 - DEPENDENCIES'!$A$9:$A$58,0))))))</f>
        <v/>
      </c>
    </row>
    <row r="20" spans="1:39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IF(A20="","",IF(COUNTIF('04 - DECISION LOG'!$A$9:$A$58,A20)&gt;1,"DUPLICATE ID ","")&amp;IF(ReviewDate="","SET REVIEW DATE ","")&amp;IF(C20="","STATUS MISSING ","")&amp;IF(E20="","DEADLINE MISSING ","")&amp;IF(D20="","OWNER MISSING ","")&amp;IF(AND(OR(C20="Open",C20="Deferred"),M20=""),"ACTIONABLE DATE MISSING ","")&amp;IF(AND(OR(C20="Open",C20="Deferred"),ISNUMBER(AH20),AH20&gt;=WarnDays),"THRESHOLD EXCEEDED ","")&amp;IF(AND(OR(C20="Open",C20="Deferred"),ISNUMBER(AH20),AH20&gt;=EscDays),"ESCALATION REQUIRED ","")&amp;IF(AND(OR(C20="Open",C20="Deferred"),ISNUMBER(AJ20),AJ20&gt;=0,AJ20&lt;=Upcoming),"APPROACHING DEADLINE ","")&amp;IF(AND(OR(C20="Open",C20="Deferred"),AK20&gt;0),"DECISION OVERDUE ","")&amp;IF(AND(C20="Deferred",V20=""),"DEFERRAL WITHOUT REVIEW DATE ","")&amp;IF(AND(C20="Decided",AG20="",OR(AF20="",AF20&lt;ReviewDate)),"DECISION NOT IMPLEMENTED ","")&amp;IF(AND(NOT(OR(C20="Open",C20="Deferred")),Y20=""),"CLOSURE DATE MISSING ","")&amp;IF(AND(ISNUMBER(Y20),Y20&lt;M20),"INVALID DATE ORDER ",""))&amp;IF(AND(A20&lt;&gt;"",AM20&lt;&gt;"",AM20&lt;&gt;"Consumer accepted",AM20&lt;&gt;"Authorised removal"),"LINKED DEPENDENCY UNRESOLVED ","")</f>
        <v/>
      </c>
      <c r="H20" s="11" t="str">
        <f t="shared" si="1"/>
        <v/>
      </c>
      <c r="I20" s="8"/>
      <c r="J20" s="8"/>
      <c r="K20" s="8"/>
      <c r="L20" s="9"/>
      <c r="M20" s="9"/>
      <c r="N20" s="8"/>
      <c r="O20" s="8"/>
      <c r="P20" s="8"/>
      <c r="Q20" s="8"/>
      <c r="R20" s="8"/>
      <c r="S20" s="8"/>
      <c r="T20" s="8"/>
      <c r="U20" s="8"/>
      <c r="V20" s="9"/>
      <c r="W20" s="8"/>
      <c r="X20" s="8"/>
      <c r="Y20" s="9"/>
      <c r="Z20" s="8"/>
      <c r="AA20" s="8"/>
      <c r="AB20" s="8"/>
      <c r="AC20" s="8"/>
      <c r="AD20" s="8"/>
      <c r="AE20" s="8"/>
      <c r="AF20" s="9"/>
      <c r="AG20" s="9"/>
      <c r="AH20" s="11" t="str">
        <f t="shared" si="2"/>
        <v/>
      </c>
      <c r="AI20" s="11" t="str">
        <f t="shared" si="3"/>
        <v/>
      </c>
      <c r="AJ20" s="11" t="str">
        <f t="shared" si="4"/>
        <v/>
      </c>
      <c r="AK20" s="11" t="str">
        <f t="shared" si="5"/>
        <v/>
      </c>
      <c r="AL20" s="11" t="str">
        <f t="shared" si="6"/>
        <v/>
      </c>
      <c r="AM20" s="11" t="str">
        <f>IF(A20="","",IF(AC20="","",IF(COUNTIF('05 - DEPENDENCIES'!$A$9:$A$58,AC20)=0,"Unknown ID",IF(COUNTIF('05 - DEPENDENCIES'!$A$9:$A$58,AC20)&gt;1,"Duplicate ID",INDEX('05 - DEPENDENCIES'!$AI$9:$AI$58,MATCH(AC20,'05 - DEPENDENCIES'!$A$9:$A$58,0))))))</f>
        <v/>
      </c>
    </row>
    <row r="21" spans="1:39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IF(A21="","",IF(COUNTIF('04 - DECISION LOG'!$A$9:$A$58,A21)&gt;1,"DUPLICATE ID ","")&amp;IF(ReviewDate="","SET REVIEW DATE ","")&amp;IF(C21="","STATUS MISSING ","")&amp;IF(E21="","DEADLINE MISSING ","")&amp;IF(D21="","OWNER MISSING ","")&amp;IF(AND(OR(C21="Open",C21="Deferred"),M21=""),"ACTIONABLE DATE MISSING ","")&amp;IF(AND(OR(C21="Open",C21="Deferred"),ISNUMBER(AH21),AH21&gt;=WarnDays),"THRESHOLD EXCEEDED ","")&amp;IF(AND(OR(C21="Open",C21="Deferred"),ISNUMBER(AH21),AH21&gt;=EscDays),"ESCALATION REQUIRED ","")&amp;IF(AND(OR(C21="Open",C21="Deferred"),ISNUMBER(AJ21),AJ21&gt;=0,AJ21&lt;=Upcoming),"APPROACHING DEADLINE ","")&amp;IF(AND(OR(C21="Open",C21="Deferred"),AK21&gt;0),"DECISION OVERDUE ","")&amp;IF(AND(C21="Deferred",V21=""),"DEFERRAL WITHOUT REVIEW DATE ","")&amp;IF(AND(C21="Decided",AG21="",OR(AF21="",AF21&lt;ReviewDate)),"DECISION NOT IMPLEMENTED ","")&amp;IF(AND(NOT(OR(C21="Open",C21="Deferred")),Y21=""),"CLOSURE DATE MISSING ","")&amp;IF(AND(ISNUMBER(Y21),Y21&lt;M21),"INVALID DATE ORDER ",""))&amp;IF(AND(A21&lt;&gt;"",AM21&lt;&gt;"",AM21&lt;&gt;"Consumer accepted",AM21&lt;&gt;"Authorised removal"),"LINKED DEPENDENCY UNRESOLVED ","")</f>
        <v/>
      </c>
      <c r="H21" s="11" t="str">
        <f t="shared" si="1"/>
        <v/>
      </c>
      <c r="I21" s="8"/>
      <c r="J21" s="8"/>
      <c r="K21" s="8"/>
      <c r="L21" s="9"/>
      <c r="M21" s="9"/>
      <c r="N21" s="8"/>
      <c r="O21" s="8"/>
      <c r="P21" s="8"/>
      <c r="Q21" s="8"/>
      <c r="R21" s="8"/>
      <c r="S21" s="8"/>
      <c r="T21" s="8"/>
      <c r="U21" s="8"/>
      <c r="V21" s="9"/>
      <c r="W21" s="8"/>
      <c r="X21" s="8"/>
      <c r="Y21" s="9"/>
      <c r="Z21" s="8"/>
      <c r="AA21" s="8"/>
      <c r="AB21" s="8"/>
      <c r="AC21" s="8"/>
      <c r="AD21" s="8"/>
      <c r="AE21" s="8"/>
      <c r="AF21" s="9"/>
      <c r="AG21" s="9"/>
      <c r="AH21" s="11" t="str">
        <f t="shared" si="2"/>
        <v/>
      </c>
      <c r="AI21" s="11" t="str">
        <f t="shared" si="3"/>
        <v/>
      </c>
      <c r="AJ21" s="11" t="str">
        <f t="shared" si="4"/>
        <v/>
      </c>
      <c r="AK21" s="11" t="str">
        <f t="shared" si="5"/>
        <v/>
      </c>
      <c r="AL21" s="11" t="str">
        <f t="shared" si="6"/>
        <v/>
      </c>
      <c r="AM21" s="11" t="str">
        <f>IF(A21="","",IF(AC21="","",IF(COUNTIF('05 - DEPENDENCIES'!$A$9:$A$58,AC21)=0,"Unknown ID",IF(COUNTIF('05 - DEPENDENCIES'!$A$9:$A$58,AC21)&gt;1,"Duplicate ID",INDEX('05 - DEPENDENCIES'!$AI$9:$AI$58,MATCH(AC21,'05 - DEPENDENCIES'!$A$9:$A$58,0))))))</f>
        <v/>
      </c>
    </row>
    <row r="22" spans="1:39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IF(A22="","",IF(COUNTIF('04 - DECISION LOG'!$A$9:$A$58,A22)&gt;1,"DUPLICATE ID ","")&amp;IF(ReviewDate="","SET REVIEW DATE ","")&amp;IF(C22="","STATUS MISSING ","")&amp;IF(E22="","DEADLINE MISSING ","")&amp;IF(D22="","OWNER MISSING ","")&amp;IF(AND(OR(C22="Open",C22="Deferred"),M22=""),"ACTIONABLE DATE MISSING ","")&amp;IF(AND(OR(C22="Open",C22="Deferred"),ISNUMBER(AH22),AH22&gt;=WarnDays),"THRESHOLD EXCEEDED ","")&amp;IF(AND(OR(C22="Open",C22="Deferred"),ISNUMBER(AH22),AH22&gt;=EscDays),"ESCALATION REQUIRED ","")&amp;IF(AND(OR(C22="Open",C22="Deferred"),ISNUMBER(AJ22),AJ22&gt;=0,AJ22&lt;=Upcoming),"APPROACHING DEADLINE ","")&amp;IF(AND(OR(C22="Open",C22="Deferred"),AK22&gt;0),"DECISION OVERDUE ","")&amp;IF(AND(C22="Deferred",V22=""),"DEFERRAL WITHOUT REVIEW DATE ","")&amp;IF(AND(C22="Decided",AG22="",OR(AF22="",AF22&lt;ReviewDate)),"DECISION NOT IMPLEMENTED ","")&amp;IF(AND(NOT(OR(C22="Open",C22="Deferred")),Y22=""),"CLOSURE DATE MISSING ","")&amp;IF(AND(ISNUMBER(Y22),Y22&lt;M22),"INVALID DATE ORDER ",""))&amp;IF(AND(A22&lt;&gt;"",AM22&lt;&gt;"",AM22&lt;&gt;"Consumer accepted",AM22&lt;&gt;"Authorised removal"),"LINKED DEPENDENCY UNRESOLVED ","")</f>
        <v/>
      </c>
      <c r="H22" s="11" t="str">
        <f t="shared" si="1"/>
        <v/>
      </c>
      <c r="I22" s="8"/>
      <c r="J22" s="8"/>
      <c r="K22" s="8"/>
      <c r="L22" s="9"/>
      <c r="M22" s="9"/>
      <c r="N22" s="8"/>
      <c r="O22" s="8"/>
      <c r="P22" s="8"/>
      <c r="Q22" s="8"/>
      <c r="R22" s="8"/>
      <c r="S22" s="8"/>
      <c r="T22" s="8"/>
      <c r="U22" s="8"/>
      <c r="V22" s="9"/>
      <c r="W22" s="8"/>
      <c r="X22" s="8"/>
      <c r="Y22" s="9"/>
      <c r="Z22" s="8"/>
      <c r="AA22" s="8"/>
      <c r="AB22" s="8"/>
      <c r="AC22" s="8"/>
      <c r="AD22" s="8"/>
      <c r="AE22" s="8"/>
      <c r="AF22" s="9"/>
      <c r="AG22" s="9"/>
      <c r="AH22" s="11" t="str">
        <f t="shared" si="2"/>
        <v/>
      </c>
      <c r="AI22" s="11" t="str">
        <f t="shared" si="3"/>
        <v/>
      </c>
      <c r="AJ22" s="11" t="str">
        <f t="shared" si="4"/>
        <v/>
      </c>
      <c r="AK22" s="11" t="str">
        <f t="shared" si="5"/>
        <v/>
      </c>
      <c r="AL22" s="11" t="str">
        <f t="shared" si="6"/>
        <v/>
      </c>
      <c r="AM22" s="11" t="str">
        <f>IF(A22="","",IF(AC22="","",IF(COUNTIF('05 - DEPENDENCIES'!$A$9:$A$58,AC22)=0,"Unknown ID",IF(COUNTIF('05 - DEPENDENCIES'!$A$9:$A$58,AC22)&gt;1,"Duplicate ID",INDEX('05 - DEPENDENCIES'!$AI$9:$AI$58,MATCH(AC22,'05 - DEPENDENCIES'!$A$9:$A$58,0))))))</f>
        <v/>
      </c>
    </row>
    <row r="23" spans="1:39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IF(A23="","",IF(COUNTIF('04 - DECISION LOG'!$A$9:$A$58,A23)&gt;1,"DUPLICATE ID ","")&amp;IF(ReviewDate="","SET REVIEW DATE ","")&amp;IF(C23="","STATUS MISSING ","")&amp;IF(E23="","DEADLINE MISSING ","")&amp;IF(D23="","OWNER MISSING ","")&amp;IF(AND(OR(C23="Open",C23="Deferred"),M23=""),"ACTIONABLE DATE MISSING ","")&amp;IF(AND(OR(C23="Open",C23="Deferred"),ISNUMBER(AH23),AH23&gt;=WarnDays),"THRESHOLD EXCEEDED ","")&amp;IF(AND(OR(C23="Open",C23="Deferred"),ISNUMBER(AH23),AH23&gt;=EscDays),"ESCALATION REQUIRED ","")&amp;IF(AND(OR(C23="Open",C23="Deferred"),ISNUMBER(AJ23),AJ23&gt;=0,AJ23&lt;=Upcoming),"APPROACHING DEADLINE ","")&amp;IF(AND(OR(C23="Open",C23="Deferred"),AK23&gt;0),"DECISION OVERDUE ","")&amp;IF(AND(C23="Deferred",V23=""),"DEFERRAL WITHOUT REVIEW DATE ","")&amp;IF(AND(C23="Decided",AG23="",OR(AF23="",AF23&lt;ReviewDate)),"DECISION NOT IMPLEMENTED ","")&amp;IF(AND(NOT(OR(C23="Open",C23="Deferred")),Y23=""),"CLOSURE DATE MISSING ","")&amp;IF(AND(ISNUMBER(Y23),Y23&lt;M23),"INVALID DATE ORDER ",""))&amp;IF(AND(A23&lt;&gt;"",AM23&lt;&gt;"",AM23&lt;&gt;"Consumer accepted",AM23&lt;&gt;"Authorised removal"),"LINKED DEPENDENCY UNRESOLVED ","")</f>
        <v/>
      </c>
      <c r="H23" s="11" t="str">
        <f t="shared" si="1"/>
        <v/>
      </c>
      <c r="I23" s="8"/>
      <c r="J23" s="8"/>
      <c r="K23" s="8"/>
      <c r="L23" s="9"/>
      <c r="M23" s="9"/>
      <c r="N23" s="8"/>
      <c r="O23" s="8"/>
      <c r="P23" s="8"/>
      <c r="Q23" s="8"/>
      <c r="R23" s="8"/>
      <c r="S23" s="8"/>
      <c r="T23" s="8"/>
      <c r="U23" s="8"/>
      <c r="V23" s="9"/>
      <c r="W23" s="8"/>
      <c r="X23" s="8"/>
      <c r="Y23" s="9"/>
      <c r="Z23" s="8"/>
      <c r="AA23" s="8"/>
      <c r="AB23" s="8"/>
      <c r="AC23" s="8"/>
      <c r="AD23" s="8"/>
      <c r="AE23" s="8"/>
      <c r="AF23" s="9"/>
      <c r="AG23" s="9"/>
      <c r="AH23" s="11" t="str">
        <f t="shared" si="2"/>
        <v/>
      </c>
      <c r="AI23" s="11" t="str">
        <f t="shared" si="3"/>
        <v/>
      </c>
      <c r="AJ23" s="11" t="str">
        <f t="shared" si="4"/>
        <v/>
      </c>
      <c r="AK23" s="11" t="str">
        <f t="shared" si="5"/>
        <v/>
      </c>
      <c r="AL23" s="11" t="str">
        <f t="shared" si="6"/>
        <v/>
      </c>
      <c r="AM23" s="11" t="str">
        <f>IF(A23="","",IF(AC23="","",IF(COUNTIF('05 - DEPENDENCIES'!$A$9:$A$58,AC23)=0,"Unknown ID",IF(COUNTIF('05 - DEPENDENCIES'!$A$9:$A$58,AC23)&gt;1,"Duplicate ID",INDEX('05 - DEPENDENCIES'!$AI$9:$AI$58,MATCH(AC23,'05 - DEPENDENCIES'!$A$9:$A$58,0))))))</f>
        <v/>
      </c>
    </row>
    <row r="24" spans="1:39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IF(A24="","",IF(COUNTIF('04 - DECISION LOG'!$A$9:$A$58,A24)&gt;1,"DUPLICATE ID ","")&amp;IF(ReviewDate="","SET REVIEW DATE ","")&amp;IF(C24="","STATUS MISSING ","")&amp;IF(E24="","DEADLINE MISSING ","")&amp;IF(D24="","OWNER MISSING ","")&amp;IF(AND(OR(C24="Open",C24="Deferred"),M24=""),"ACTIONABLE DATE MISSING ","")&amp;IF(AND(OR(C24="Open",C24="Deferred"),ISNUMBER(AH24),AH24&gt;=WarnDays),"THRESHOLD EXCEEDED ","")&amp;IF(AND(OR(C24="Open",C24="Deferred"),ISNUMBER(AH24),AH24&gt;=EscDays),"ESCALATION REQUIRED ","")&amp;IF(AND(OR(C24="Open",C24="Deferred"),ISNUMBER(AJ24),AJ24&gt;=0,AJ24&lt;=Upcoming),"APPROACHING DEADLINE ","")&amp;IF(AND(OR(C24="Open",C24="Deferred"),AK24&gt;0),"DECISION OVERDUE ","")&amp;IF(AND(C24="Deferred",V24=""),"DEFERRAL WITHOUT REVIEW DATE ","")&amp;IF(AND(C24="Decided",AG24="",OR(AF24="",AF24&lt;ReviewDate)),"DECISION NOT IMPLEMENTED ","")&amp;IF(AND(NOT(OR(C24="Open",C24="Deferred")),Y24=""),"CLOSURE DATE MISSING ","")&amp;IF(AND(ISNUMBER(Y24),Y24&lt;M24),"INVALID DATE ORDER ",""))&amp;IF(AND(A24&lt;&gt;"",AM24&lt;&gt;"",AM24&lt;&gt;"Consumer accepted",AM24&lt;&gt;"Authorised removal"),"LINKED DEPENDENCY UNRESOLVED ","")</f>
        <v/>
      </c>
      <c r="H24" s="11" t="str">
        <f t="shared" si="1"/>
        <v/>
      </c>
      <c r="I24" s="8"/>
      <c r="J24" s="8"/>
      <c r="K24" s="8"/>
      <c r="L24" s="9"/>
      <c r="M24" s="9"/>
      <c r="N24" s="8"/>
      <c r="O24" s="8"/>
      <c r="P24" s="8"/>
      <c r="Q24" s="8"/>
      <c r="R24" s="8"/>
      <c r="S24" s="8"/>
      <c r="T24" s="8"/>
      <c r="U24" s="8"/>
      <c r="V24" s="9"/>
      <c r="W24" s="8"/>
      <c r="X24" s="8"/>
      <c r="Y24" s="9"/>
      <c r="Z24" s="8"/>
      <c r="AA24" s="8"/>
      <c r="AB24" s="8"/>
      <c r="AC24" s="8"/>
      <c r="AD24" s="8"/>
      <c r="AE24" s="8"/>
      <c r="AF24" s="9"/>
      <c r="AG24" s="9"/>
      <c r="AH24" s="11" t="str">
        <f t="shared" si="2"/>
        <v/>
      </c>
      <c r="AI24" s="11" t="str">
        <f t="shared" si="3"/>
        <v/>
      </c>
      <c r="AJ24" s="11" t="str">
        <f t="shared" si="4"/>
        <v/>
      </c>
      <c r="AK24" s="11" t="str">
        <f t="shared" si="5"/>
        <v/>
      </c>
      <c r="AL24" s="11" t="str">
        <f t="shared" si="6"/>
        <v/>
      </c>
      <c r="AM24" s="11" t="str">
        <f>IF(A24="","",IF(AC24="","",IF(COUNTIF('05 - DEPENDENCIES'!$A$9:$A$58,AC24)=0,"Unknown ID",IF(COUNTIF('05 - DEPENDENCIES'!$A$9:$A$58,AC24)&gt;1,"Duplicate ID",INDEX('05 - DEPENDENCIES'!$AI$9:$AI$58,MATCH(AC24,'05 - DEPENDENCIES'!$A$9:$A$58,0))))))</f>
        <v/>
      </c>
    </row>
    <row r="25" spans="1:39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IF(A25="","",IF(COUNTIF('04 - DECISION LOG'!$A$9:$A$58,A25)&gt;1,"DUPLICATE ID ","")&amp;IF(ReviewDate="","SET REVIEW DATE ","")&amp;IF(C25="","STATUS MISSING ","")&amp;IF(E25="","DEADLINE MISSING ","")&amp;IF(D25="","OWNER MISSING ","")&amp;IF(AND(OR(C25="Open",C25="Deferred"),M25=""),"ACTIONABLE DATE MISSING ","")&amp;IF(AND(OR(C25="Open",C25="Deferred"),ISNUMBER(AH25),AH25&gt;=WarnDays),"THRESHOLD EXCEEDED ","")&amp;IF(AND(OR(C25="Open",C25="Deferred"),ISNUMBER(AH25),AH25&gt;=EscDays),"ESCALATION REQUIRED ","")&amp;IF(AND(OR(C25="Open",C25="Deferred"),ISNUMBER(AJ25),AJ25&gt;=0,AJ25&lt;=Upcoming),"APPROACHING DEADLINE ","")&amp;IF(AND(OR(C25="Open",C25="Deferred"),AK25&gt;0),"DECISION OVERDUE ","")&amp;IF(AND(C25="Deferred",V25=""),"DEFERRAL WITHOUT REVIEW DATE ","")&amp;IF(AND(C25="Decided",AG25="",OR(AF25="",AF25&lt;ReviewDate)),"DECISION NOT IMPLEMENTED ","")&amp;IF(AND(NOT(OR(C25="Open",C25="Deferred")),Y25=""),"CLOSURE DATE MISSING ","")&amp;IF(AND(ISNUMBER(Y25),Y25&lt;M25),"INVALID DATE ORDER ",""))&amp;IF(AND(A25&lt;&gt;"",AM25&lt;&gt;"",AM25&lt;&gt;"Consumer accepted",AM25&lt;&gt;"Authorised removal"),"LINKED DEPENDENCY UNRESOLVED ","")</f>
        <v/>
      </c>
      <c r="H25" s="11" t="str">
        <f t="shared" si="1"/>
        <v/>
      </c>
      <c r="I25" s="8"/>
      <c r="J25" s="8"/>
      <c r="K25" s="8"/>
      <c r="L25" s="9"/>
      <c r="M25" s="9"/>
      <c r="N25" s="8"/>
      <c r="O25" s="8"/>
      <c r="P25" s="8"/>
      <c r="Q25" s="8"/>
      <c r="R25" s="8"/>
      <c r="S25" s="8"/>
      <c r="T25" s="8"/>
      <c r="U25" s="8"/>
      <c r="V25" s="9"/>
      <c r="W25" s="8"/>
      <c r="X25" s="8"/>
      <c r="Y25" s="9"/>
      <c r="Z25" s="8"/>
      <c r="AA25" s="8"/>
      <c r="AB25" s="8"/>
      <c r="AC25" s="8"/>
      <c r="AD25" s="8"/>
      <c r="AE25" s="8"/>
      <c r="AF25" s="9"/>
      <c r="AG25" s="9"/>
      <c r="AH25" s="11" t="str">
        <f t="shared" si="2"/>
        <v/>
      </c>
      <c r="AI25" s="11" t="str">
        <f t="shared" si="3"/>
        <v/>
      </c>
      <c r="AJ25" s="11" t="str">
        <f t="shared" si="4"/>
        <v/>
      </c>
      <c r="AK25" s="11" t="str">
        <f t="shared" si="5"/>
        <v/>
      </c>
      <c r="AL25" s="11" t="str">
        <f t="shared" si="6"/>
        <v/>
      </c>
      <c r="AM25" s="11" t="str">
        <f>IF(A25="","",IF(AC25="","",IF(COUNTIF('05 - DEPENDENCIES'!$A$9:$A$58,AC25)=0,"Unknown ID",IF(COUNTIF('05 - DEPENDENCIES'!$A$9:$A$58,AC25)&gt;1,"Duplicate ID",INDEX('05 - DEPENDENCIES'!$AI$9:$AI$58,MATCH(AC25,'05 - DEPENDENCIES'!$A$9:$A$58,0))))))</f>
        <v/>
      </c>
    </row>
    <row r="26" spans="1:39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IF(A26="","",IF(COUNTIF('04 - DECISION LOG'!$A$9:$A$58,A26)&gt;1,"DUPLICATE ID ","")&amp;IF(ReviewDate="","SET REVIEW DATE ","")&amp;IF(C26="","STATUS MISSING ","")&amp;IF(E26="","DEADLINE MISSING ","")&amp;IF(D26="","OWNER MISSING ","")&amp;IF(AND(OR(C26="Open",C26="Deferred"),M26=""),"ACTIONABLE DATE MISSING ","")&amp;IF(AND(OR(C26="Open",C26="Deferred"),ISNUMBER(AH26),AH26&gt;=WarnDays),"THRESHOLD EXCEEDED ","")&amp;IF(AND(OR(C26="Open",C26="Deferred"),ISNUMBER(AH26),AH26&gt;=EscDays),"ESCALATION REQUIRED ","")&amp;IF(AND(OR(C26="Open",C26="Deferred"),ISNUMBER(AJ26),AJ26&gt;=0,AJ26&lt;=Upcoming),"APPROACHING DEADLINE ","")&amp;IF(AND(OR(C26="Open",C26="Deferred"),AK26&gt;0),"DECISION OVERDUE ","")&amp;IF(AND(C26="Deferred",V26=""),"DEFERRAL WITHOUT REVIEW DATE ","")&amp;IF(AND(C26="Decided",AG26="",OR(AF26="",AF26&lt;ReviewDate)),"DECISION NOT IMPLEMENTED ","")&amp;IF(AND(NOT(OR(C26="Open",C26="Deferred")),Y26=""),"CLOSURE DATE MISSING ","")&amp;IF(AND(ISNUMBER(Y26),Y26&lt;M26),"INVALID DATE ORDER ",""))&amp;IF(AND(A26&lt;&gt;"",AM26&lt;&gt;"",AM26&lt;&gt;"Consumer accepted",AM26&lt;&gt;"Authorised removal"),"LINKED DEPENDENCY UNRESOLVED ","")</f>
        <v/>
      </c>
      <c r="H26" s="11" t="str">
        <f t="shared" si="1"/>
        <v/>
      </c>
      <c r="I26" s="8"/>
      <c r="J26" s="8"/>
      <c r="K26" s="8"/>
      <c r="L26" s="9"/>
      <c r="M26" s="9"/>
      <c r="N26" s="8"/>
      <c r="O26" s="8"/>
      <c r="P26" s="8"/>
      <c r="Q26" s="8"/>
      <c r="R26" s="8"/>
      <c r="S26" s="8"/>
      <c r="T26" s="8"/>
      <c r="U26" s="8"/>
      <c r="V26" s="9"/>
      <c r="W26" s="8"/>
      <c r="X26" s="8"/>
      <c r="Y26" s="9"/>
      <c r="Z26" s="8"/>
      <c r="AA26" s="8"/>
      <c r="AB26" s="8"/>
      <c r="AC26" s="8"/>
      <c r="AD26" s="8"/>
      <c r="AE26" s="8"/>
      <c r="AF26" s="9"/>
      <c r="AG26" s="9"/>
      <c r="AH26" s="11" t="str">
        <f t="shared" si="2"/>
        <v/>
      </c>
      <c r="AI26" s="11" t="str">
        <f t="shared" si="3"/>
        <v/>
      </c>
      <c r="AJ26" s="11" t="str">
        <f t="shared" si="4"/>
        <v/>
      </c>
      <c r="AK26" s="11" t="str">
        <f t="shared" si="5"/>
        <v/>
      </c>
      <c r="AL26" s="11" t="str">
        <f t="shared" si="6"/>
        <v/>
      </c>
      <c r="AM26" s="11" t="str">
        <f>IF(A26="","",IF(AC26="","",IF(COUNTIF('05 - DEPENDENCIES'!$A$9:$A$58,AC26)=0,"Unknown ID",IF(COUNTIF('05 - DEPENDENCIES'!$A$9:$A$58,AC26)&gt;1,"Duplicate ID",INDEX('05 - DEPENDENCIES'!$AI$9:$AI$58,MATCH(AC26,'05 - DEPENDENCIES'!$A$9:$A$58,0))))))</f>
        <v/>
      </c>
    </row>
    <row r="27" spans="1:39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IF(A27="","",IF(COUNTIF('04 - DECISION LOG'!$A$9:$A$58,A27)&gt;1,"DUPLICATE ID ","")&amp;IF(ReviewDate="","SET REVIEW DATE ","")&amp;IF(C27="","STATUS MISSING ","")&amp;IF(E27="","DEADLINE MISSING ","")&amp;IF(D27="","OWNER MISSING ","")&amp;IF(AND(OR(C27="Open",C27="Deferred"),M27=""),"ACTIONABLE DATE MISSING ","")&amp;IF(AND(OR(C27="Open",C27="Deferred"),ISNUMBER(AH27),AH27&gt;=WarnDays),"THRESHOLD EXCEEDED ","")&amp;IF(AND(OR(C27="Open",C27="Deferred"),ISNUMBER(AH27),AH27&gt;=EscDays),"ESCALATION REQUIRED ","")&amp;IF(AND(OR(C27="Open",C27="Deferred"),ISNUMBER(AJ27),AJ27&gt;=0,AJ27&lt;=Upcoming),"APPROACHING DEADLINE ","")&amp;IF(AND(OR(C27="Open",C27="Deferred"),AK27&gt;0),"DECISION OVERDUE ","")&amp;IF(AND(C27="Deferred",V27=""),"DEFERRAL WITHOUT REVIEW DATE ","")&amp;IF(AND(C27="Decided",AG27="",OR(AF27="",AF27&lt;ReviewDate)),"DECISION NOT IMPLEMENTED ","")&amp;IF(AND(NOT(OR(C27="Open",C27="Deferred")),Y27=""),"CLOSURE DATE MISSING ","")&amp;IF(AND(ISNUMBER(Y27),Y27&lt;M27),"INVALID DATE ORDER ",""))&amp;IF(AND(A27&lt;&gt;"",AM27&lt;&gt;"",AM27&lt;&gt;"Consumer accepted",AM27&lt;&gt;"Authorised removal"),"LINKED DEPENDENCY UNRESOLVED ","")</f>
        <v/>
      </c>
      <c r="H27" s="11" t="str">
        <f t="shared" si="1"/>
        <v/>
      </c>
      <c r="I27" s="8"/>
      <c r="J27" s="8"/>
      <c r="K27" s="8"/>
      <c r="L27" s="9"/>
      <c r="M27" s="9"/>
      <c r="N27" s="8"/>
      <c r="O27" s="8"/>
      <c r="P27" s="8"/>
      <c r="Q27" s="8"/>
      <c r="R27" s="8"/>
      <c r="S27" s="8"/>
      <c r="T27" s="8"/>
      <c r="U27" s="8"/>
      <c r="V27" s="9"/>
      <c r="W27" s="8"/>
      <c r="X27" s="8"/>
      <c r="Y27" s="9"/>
      <c r="Z27" s="8"/>
      <c r="AA27" s="8"/>
      <c r="AB27" s="8"/>
      <c r="AC27" s="8"/>
      <c r="AD27" s="8"/>
      <c r="AE27" s="8"/>
      <c r="AF27" s="9"/>
      <c r="AG27" s="9"/>
      <c r="AH27" s="11" t="str">
        <f t="shared" si="2"/>
        <v/>
      </c>
      <c r="AI27" s="11" t="str">
        <f t="shared" si="3"/>
        <v/>
      </c>
      <c r="AJ27" s="11" t="str">
        <f t="shared" si="4"/>
        <v/>
      </c>
      <c r="AK27" s="11" t="str">
        <f t="shared" si="5"/>
        <v/>
      </c>
      <c r="AL27" s="11" t="str">
        <f t="shared" si="6"/>
        <v/>
      </c>
      <c r="AM27" s="11" t="str">
        <f>IF(A27="","",IF(AC27="","",IF(COUNTIF('05 - DEPENDENCIES'!$A$9:$A$58,AC27)=0,"Unknown ID",IF(COUNTIF('05 - DEPENDENCIES'!$A$9:$A$58,AC27)&gt;1,"Duplicate ID",INDEX('05 - DEPENDENCIES'!$AI$9:$AI$58,MATCH(AC27,'05 - DEPENDENCIES'!$A$9:$A$58,0))))))</f>
        <v/>
      </c>
    </row>
    <row r="28" spans="1:39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IF(A28="","",IF(COUNTIF('04 - DECISION LOG'!$A$9:$A$58,A28)&gt;1,"DUPLICATE ID ","")&amp;IF(ReviewDate="","SET REVIEW DATE ","")&amp;IF(C28="","STATUS MISSING ","")&amp;IF(E28="","DEADLINE MISSING ","")&amp;IF(D28="","OWNER MISSING ","")&amp;IF(AND(OR(C28="Open",C28="Deferred"),M28=""),"ACTIONABLE DATE MISSING ","")&amp;IF(AND(OR(C28="Open",C28="Deferred"),ISNUMBER(AH28),AH28&gt;=WarnDays),"THRESHOLD EXCEEDED ","")&amp;IF(AND(OR(C28="Open",C28="Deferred"),ISNUMBER(AH28),AH28&gt;=EscDays),"ESCALATION REQUIRED ","")&amp;IF(AND(OR(C28="Open",C28="Deferred"),ISNUMBER(AJ28),AJ28&gt;=0,AJ28&lt;=Upcoming),"APPROACHING DEADLINE ","")&amp;IF(AND(OR(C28="Open",C28="Deferred"),AK28&gt;0),"DECISION OVERDUE ","")&amp;IF(AND(C28="Deferred",V28=""),"DEFERRAL WITHOUT REVIEW DATE ","")&amp;IF(AND(C28="Decided",AG28="",OR(AF28="",AF28&lt;ReviewDate)),"DECISION NOT IMPLEMENTED ","")&amp;IF(AND(NOT(OR(C28="Open",C28="Deferred")),Y28=""),"CLOSURE DATE MISSING ","")&amp;IF(AND(ISNUMBER(Y28),Y28&lt;M28),"INVALID DATE ORDER ",""))&amp;IF(AND(A28&lt;&gt;"",AM28&lt;&gt;"",AM28&lt;&gt;"Consumer accepted",AM28&lt;&gt;"Authorised removal"),"LINKED DEPENDENCY UNRESOLVED ","")</f>
        <v/>
      </c>
      <c r="H28" s="11" t="str">
        <f t="shared" si="1"/>
        <v/>
      </c>
      <c r="I28" s="8"/>
      <c r="J28" s="8"/>
      <c r="K28" s="8"/>
      <c r="L28" s="9"/>
      <c r="M28" s="9"/>
      <c r="N28" s="8"/>
      <c r="O28" s="8"/>
      <c r="P28" s="8"/>
      <c r="Q28" s="8"/>
      <c r="R28" s="8"/>
      <c r="S28" s="8"/>
      <c r="T28" s="8"/>
      <c r="U28" s="8"/>
      <c r="V28" s="9"/>
      <c r="W28" s="8"/>
      <c r="X28" s="8"/>
      <c r="Y28" s="9"/>
      <c r="Z28" s="8"/>
      <c r="AA28" s="8"/>
      <c r="AB28" s="8"/>
      <c r="AC28" s="8"/>
      <c r="AD28" s="8"/>
      <c r="AE28" s="8"/>
      <c r="AF28" s="9"/>
      <c r="AG28" s="9"/>
      <c r="AH28" s="11" t="str">
        <f t="shared" si="2"/>
        <v/>
      </c>
      <c r="AI28" s="11" t="str">
        <f t="shared" si="3"/>
        <v/>
      </c>
      <c r="AJ28" s="11" t="str">
        <f t="shared" si="4"/>
        <v/>
      </c>
      <c r="AK28" s="11" t="str">
        <f t="shared" si="5"/>
        <v/>
      </c>
      <c r="AL28" s="11" t="str">
        <f t="shared" si="6"/>
        <v/>
      </c>
      <c r="AM28" s="11" t="str">
        <f>IF(A28="","",IF(AC28="","",IF(COUNTIF('05 - DEPENDENCIES'!$A$9:$A$58,AC28)=0,"Unknown ID",IF(COUNTIF('05 - DEPENDENCIES'!$A$9:$A$58,AC28)&gt;1,"Duplicate ID",INDEX('05 - DEPENDENCIES'!$AI$9:$AI$58,MATCH(AC28,'05 - DEPENDENCIES'!$A$9:$A$58,0))))))</f>
        <v/>
      </c>
    </row>
    <row r="29" spans="1:39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IF(A29="","",IF(COUNTIF('04 - DECISION LOG'!$A$9:$A$58,A29)&gt;1,"DUPLICATE ID ","")&amp;IF(ReviewDate="","SET REVIEW DATE ","")&amp;IF(C29="","STATUS MISSING ","")&amp;IF(E29="","DEADLINE MISSING ","")&amp;IF(D29="","OWNER MISSING ","")&amp;IF(AND(OR(C29="Open",C29="Deferred"),M29=""),"ACTIONABLE DATE MISSING ","")&amp;IF(AND(OR(C29="Open",C29="Deferred"),ISNUMBER(AH29),AH29&gt;=WarnDays),"THRESHOLD EXCEEDED ","")&amp;IF(AND(OR(C29="Open",C29="Deferred"),ISNUMBER(AH29),AH29&gt;=EscDays),"ESCALATION REQUIRED ","")&amp;IF(AND(OR(C29="Open",C29="Deferred"),ISNUMBER(AJ29),AJ29&gt;=0,AJ29&lt;=Upcoming),"APPROACHING DEADLINE ","")&amp;IF(AND(OR(C29="Open",C29="Deferred"),AK29&gt;0),"DECISION OVERDUE ","")&amp;IF(AND(C29="Deferred",V29=""),"DEFERRAL WITHOUT REVIEW DATE ","")&amp;IF(AND(C29="Decided",AG29="",OR(AF29="",AF29&lt;ReviewDate)),"DECISION NOT IMPLEMENTED ","")&amp;IF(AND(NOT(OR(C29="Open",C29="Deferred")),Y29=""),"CLOSURE DATE MISSING ","")&amp;IF(AND(ISNUMBER(Y29),Y29&lt;M29),"INVALID DATE ORDER ",""))&amp;IF(AND(A29&lt;&gt;"",AM29&lt;&gt;"",AM29&lt;&gt;"Consumer accepted",AM29&lt;&gt;"Authorised removal"),"LINKED DEPENDENCY UNRESOLVED ","")</f>
        <v/>
      </c>
      <c r="H29" s="11" t="str">
        <f t="shared" si="1"/>
        <v/>
      </c>
      <c r="I29" s="8"/>
      <c r="J29" s="8"/>
      <c r="K29" s="8"/>
      <c r="L29" s="9"/>
      <c r="M29" s="9"/>
      <c r="N29" s="8"/>
      <c r="O29" s="8"/>
      <c r="P29" s="8"/>
      <c r="Q29" s="8"/>
      <c r="R29" s="8"/>
      <c r="S29" s="8"/>
      <c r="T29" s="8"/>
      <c r="U29" s="8"/>
      <c r="V29" s="9"/>
      <c r="W29" s="8"/>
      <c r="X29" s="8"/>
      <c r="Y29" s="9"/>
      <c r="Z29" s="8"/>
      <c r="AA29" s="8"/>
      <c r="AB29" s="8"/>
      <c r="AC29" s="8"/>
      <c r="AD29" s="8"/>
      <c r="AE29" s="8"/>
      <c r="AF29" s="9"/>
      <c r="AG29" s="9"/>
      <c r="AH29" s="11" t="str">
        <f t="shared" si="2"/>
        <v/>
      </c>
      <c r="AI29" s="11" t="str">
        <f t="shared" si="3"/>
        <v/>
      </c>
      <c r="AJ29" s="11" t="str">
        <f t="shared" si="4"/>
        <v/>
      </c>
      <c r="AK29" s="11" t="str">
        <f t="shared" si="5"/>
        <v/>
      </c>
      <c r="AL29" s="11" t="str">
        <f t="shared" si="6"/>
        <v/>
      </c>
      <c r="AM29" s="11" t="str">
        <f>IF(A29="","",IF(AC29="","",IF(COUNTIF('05 - DEPENDENCIES'!$A$9:$A$58,AC29)=0,"Unknown ID",IF(COUNTIF('05 - DEPENDENCIES'!$A$9:$A$58,AC29)&gt;1,"Duplicate ID",INDEX('05 - DEPENDENCIES'!$AI$9:$AI$58,MATCH(AC29,'05 - DEPENDENCIES'!$A$9:$A$58,0))))))</f>
        <v/>
      </c>
    </row>
    <row r="30" spans="1:39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IF(A30="","",IF(COUNTIF('04 - DECISION LOG'!$A$9:$A$58,A30)&gt;1,"DUPLICATE ID ","")&amp;IF(ReviewDate="","SET REVIEW DATE ","")&amp;IF(C30="","STATUS MISSING ","")&amp;IF(E30="","DEADLINE MISSING ","")&amp;IF(D30="","OWNER MISSING ","")&amp;IF(AND(OR(C30="Open",C30="Deferred"),M30=""),"ACTIONABLE DATE MISSING ","")&amp;IF(AND(OR(C30="Open",C30="Deferred"),ISNUMBER(AH30),AH30&gt;=WarnDays),"THRESHOLD EXCEEDED ","")&amp;IF(AND(OR(C30="Open",C30="Deferred"),ISNUMBER(AH30),AH30&gt;=EscDays),"ESCALATION REQUIRED ","")&amp;IF(AND(OR(C30="Open",C30="Deferred"),ISNUMBER(AJ30),AJ30&gt;=0,AJ30&lt;=Upcoming),"APPROACHING DEADLINE ","")&amp;IF(AND(OR(C30="Open",C30="Deferred"),AK30&gt;0),"DECISION OVERDUE ","")&amp;IF(AND(C30="Deferred",V30=""),"DEFERRAL WITHOUT REVIEW DATE ","")&amp;IF(AND(C30="Decided",AG30="",OR(AF30="",AF30&lt;ReviewDate)),"DECISION NOT IMPLEMENTED ","")&amp;IF(AND(NOT(OR(C30="Open",C30="Deferred")),Y30=""),"CLOSURE DATE MISSING ","")&amp;IF(AND(ISNUMBER(Y30),Y30&lt;M30),"INVALID DATE ORDER ",""))&amp;IF(AND(A30&lt;&gt;"",AM30&lt;&gt;"",AM30&lt;&gt;"Consumer accepted",AM30&lt;&gt;"Authorised removal"),"LINKED DEPENDENCY UNRESOLVED ","")</f>
        <v/>
      </c>
      <c r="H30" s="11" t="str">
        <f t="shared" si="1"/>
        <v/>
      </c>
      <c r="I30" s="8"/>
      <c r="J30" s="8"/>
      <c r="K30" s="8"/>
      <c r="L30" s="9"/>
      <c r="M30" s="9"/>
      <c r="N30" s="8"/>
      <c r="O30" s="8"/>
      <c r="P30" s="8"/>
      <c r="Q30" s="8"/>
      <c r="R30" s="8"/>
      <c r="S30" s="8"/>
      <c r="T30" s="8"/>
      <c r="U30" s="8"/>
      <c r="V30" s="9"/>
      <c r="W30" s="8"/>
      <c r="X30" s="8"/>
      <c r="Y30" s="9"/>
      <c r="Z30" s="8"/>
      <c r="AA30" s="8"/>
      <c r="AB30" s="8"/>
      <c r="AC30" s="8"/>
      <c r="AD30" s="8"/>
      <c r="AE30" s="8"/>
      <c r="AF30" s="9"/>
      <c r="AG30" s="9"/>
      <c r="AH30" s="11" t="str">
        <f t="shared" si="2"/>
        <v/>
      </c>
      <c r="AI30" s="11" t="str">
        <f t="shared" si="3"/>
        <v/>
      </c>
      <c r="AJ30" s="11" t="str">
        <f t="shared" si="4"/>
        <v/>
      </c>
      <c r="AK30" s="11" t="str">
        <f t="shared" si="5"/>
        <v/>
      </c>
      <c r="AL30" s="11" t="str">
        <f t="shared" si="6"/>
        <v/>
      </c>
      <c r="AM30" s="11" t="str">
        <f>IF(A30="","",IF(AC30="","",IF(COUNTIF('05 - DEPENDENCIES'!$A$9:$A$58,AC30)=0,"Unknown ID",IF(COUNTIF('05 - DEPENDENCIES'!$A$9:$A$58,AC30)&gt;1,"Duplicate ID",INDEX('05 - DEPENDENCIES'!$AI$9:$AI$58,MATCH(AC30,'05 - DEPENDENCIES'!$A$9:$A$58,0))))))</f>
        <v/>
      </c>
    </row>
    <row r="31" spans="1:39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IF(A31="","",IF(COUNTIF('04 - DECISION LOG'!$A$9:$A$58,A31)&gt;1,"DUPLICATE ID ","")&amp;IF(ReviewDate="","SET REVIEW DATE ","")&amp;IF(C31="","STATUS MISSING ","")&amp;IF(E31="","DEADLINE MISSING ","")&amp;IF(D31="","OWNER MISSING ","")&amp;IF(AND(OR(C31="Open",C31="Deferred"),M31=""),"ACTIONABLE DATE MISSING ","")&amp;IF(AND(OR(C31="Open",C31="Deferred"),ISNUMBER(AH31),AH31&gt;=WarnDays),"THRESHOLD EXCEEDED ","")&amp;IF(AND(OR(C31="Open",C31="Deferred"),ISNUMBER(AH31),AH31&gt;=EscDays),"ESCALATION REQUIRED ","")&amp;IF(AND(OR(C31="Open",C31="Deferred"),ISNUMBER(AJ31),AJ31&gt;=0,AJ31&lt;=Upcoming),"APPROACHING DEADLINE ","")&amp;IF(AND(OR(C31="Open",C31="Deferred"),AK31&gt;0),"DECISION OVERDUE ","")&amp;IF(AND(C31="Deferred",V31=""),"DEFERRAL WITHOUT REVIEW DATE ","")&amp;IF(AND(C31="Decided",AG31="",OR(AF31="",AF31&lt;ReviewDate)),"DECISION NOT IMPLEMENTED ","")&amp;IF(AND(NOT(OR(C31="Open",C31="Deferred")),Y31=""),"CLOSURE DATE MISSING ","")&amp;IF(AND(ISNUMBER(Y31),Y31&lt;M31),"INVALID DATE ORDER ",""))&amp;IF(AND(A31&lt;&gt;"",AM31&lt;&gt;"",AM31&lt;&gt;"Consumer accepted",AM31&lt;&gt;"Authorised removal"),"LINKED DEPENDENCY UNRESOLVED ","")</f>
        <v/>
      </c>
      <c r="H31" s="11" t="str">
        <f t="shared" si="1"/>
        <v/>
      </c>
      <c r="I31" s="8"/>
      <c r="J31" s="8"/>
      <c r="K31" s="8"/>
      <c r="L31" s="9"/>
      <c r="M31" s="9"/>
      <c r="N31" s="8"/>
      <c r="O31" s="8"/>
      <c r="P31" s="8"/>
      <c r="Q31" s="8"/>
      <c r="R31" s="8"/>
      <c r="S31" s="8"/>
      <c r="T31" s="8"/>
      <c r="U31" s="8"/>
      <c r="V31" s="9"/>
      <c r="W31" s="8"/>
      <c r="X31" s="8"/>
      <c r="Y31" s="9"/>
      <c r="Z31" s="8"/>
      <c r="AA31" s="8"/>
      <c r="AB31" s="8"/>
      <c r="AC31" s="8"/>
      <c r="AD31" s="8"/>
      <c r="AE31" s="8"/>
      <c r="AF31" s="9"/>
      <c r="AG31" s="9"/>
      <c r="AH31" s="11" t="str">
        <f t="shared" si="2"/>
        <v/>
      </c>
      <c r="AI31" s="11" t="str">
        <f t="shared" si="3"/>
        <v/>
      </c>
      <c r="AJ31" s="11" t="str">
        <f t="shared" si="4"/>
        <v/>
      </c>
      <c r="AK31" s="11" t="str">
        <f t="shared" si="5"/>
        <v/>
      </c>
      <c r="AL31" s="11" t="str">
        <f t="shared" si="6"/>
        <v/>
      </c>
      <c r="AM31" s="11" t="str">
        <f>IF(A31="","",IF(AC31="","",IF(COUNTIF('05 - DEPENDENCIES'!$A$9:$A$58,AC31)=0,"Unknown ID",IF(COUNTIF('05 - DEPENDENCIES'!$A$9:$A$58,AC31)&gt;1,"Duplicate ID",INDEX('05 - DEPENDENCIES'!$AI$9:$AI$58,MATCH(AC31,'05 - DEPENDENCIES'!$A$9:$A$58,0))))))</f>
        <v/>
      </c>
    </row>
    <row r="32" spans="1:39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IF(A32="","",IF(COUNTIF('04 - DECISION LOG'!$A$9:$A$58,A32)&gt;1,"DUPLICATE ID ","")&amp;IF(ReviewDate="","SET REVIEW DATE ","")&amp;IF(C32="","STATUS MISSING ","")&amp;IF(E32="","DEADLINE MISSING ","")&amp;IF(D32="","OWNER MISSING ","")&amp;IF(AND(OR(C32="Open",C32="Deferred"),M32=""),"ACTIONABLE DATE MISSING ","")&amp;IF(AND(OR(C32="Open",C32="Deferred"),ISNUMBER(AH32),AH32&gt;=WarnDays),"THRESHOLD EXCEEDED ","")&amp;IF(AND(OR(C32="Open",C32="Deferred"),ISNUMBER(AH32),AH32&gt;=EscDays),"ESCALATION REQUIRED ","")&amp;IF(AND(OR(C32="Open",C32="Deferred"),ISNUMBER(AJ32),AJ32&gt;=0,AJ32&lt;=Upcoming),"APPROACHING DEADLINE ","")&amp;IF(AND(OR(C32="Open",C32="Deferred"),AK32&gt;0),"DECISION OVERDUE ","")&amp;IF(AND(C32="Deferred",V32=""),"DEFERRAL WITHOUT REVIEW DATE ","")&amp;IF(AND(C32="Decided",AG32="",OR(AF32="",AF32&lt;ReviewDate)),"DECISION NOT IMPLEMENTED ","")&amp;IF(AND(NOT(OR(C32="Open",C32="Deferred")),Y32=""),"CLOSURE DATE MISSING ","")&amp;IF(AND(ISNUMBER(Y32),Y32&lt;M32),"INVALID DATE ORDER ",""))&amp;IF(AND(A32&lt;&gt;"",AM32&lt;&gt;"",AM32&lt;&gt;"Consumer accepted",AM32&lt;&gt;"Authorised removal"),"LINKED DEPENDENCY UNRESOLVED ","")</f>
        <v/>
      </c>
      <c r="H32" s="11" t="str">
        <f t="shared" si="1"/>
        <v/>
      </c>
      <c r="I32" s="8"/>
      <c r="J32" s="8"/>
      <c r="K32" s="8"/>
      <c r="L32" s="9"/>
      <c r="M32" s="9"/>
      <c r="N32" s="8"/>
      <c r="O32" s="8"/>
      <c r="P32" s="8"/>
      <c r="Q32" s="8"/>
      <c r="R32" s="8"/>
      <c r="S32" s="8"/>
      <c r="T32" s="8"/>
      <c r="U32" s="8"/>
      <c r="V32" s="9"/>
      <c r="W32" s="8"/>
      <c r="X32" s="8"/>
      <c r="Y32" s="9"/>
      <c r="Z32" s="8"/>
      <c r="AA32" s="8"/>
      <c r="AB32" s="8"/>
      <c r="AC32" s="8"/>
      <c r="AD32" s="8"/>
      <c r="AE32" s="8"/>
      <c r="AF32" s="9"/>
      <c r="AG32" s="9"/>
      <c r="AH32" s="11" t="str">
        <f t="shared" si="2"/>
        <v/>
      </c>
      <c r="AI32" s="11" t="str">
        <f t="shared" si="3"/>
        <v/>
      </c>
      <c r="AJ32" s="11" t="str">
        <f t="shared" si="4"/>
        <v/>
      </c>
      <c r="AK32" s="11" t="str">
        <f t="shared" si="5"/>
        <v/>
      </c>
      <c r="AL32" s="11" t="str">
        <f t="shared" si="6"/>
        <v/>
      </c>
      <c r="AM32" s="11" t="str">
        <f>IF(A32="","",IF(AC32="","",IF(COUNTIF('05 - DEPENDENCIES'!$A$9:$A$58,AC32)=0,"Unknown ID",IF(COUNTIF('05 - DEPENDENCIES'!$A$9:$A$58,AC32)&gt;1,"Duplicate ID",INDEX('05 - DEPENDENCIES'!$AI$9:$AI$58,MATCH(AC32,'05 - DEPENDENCIES'!$A$9:$A$58,0))))))</f>
        <v/>
      </c>
    </row>
    <row r="33" spans="1:39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IF(A33="","",IF(COUNTIF('04 - DECISION LOG'!$A$9:$A$58,A33)&gt;1,"DUPLICATE ID ","")&amp;IF(ReviewDate="","SET REVIEW DATE ","")&amp;IF(C33="","STATUS MISSING ","")&amp;IF(E33="","DEADLINE MISSING ","")&amp;IF(D33="","OWNER MISSING ","")&amp;IF(AND(OR(C33="Open",C33="Deferred"),M33=""),"ACTIONABLE DATE MISSING ","")&amp;IF(AND(OR(C33="Open",C33="Deferred"),ISNUMBER(AH33),AH33&gt;=WarnDays),"THRESHOLD EXCEEDED ","")&amp;IF(AND(OR(C33="Open",C33="Deferred"),ISNUMBER(AH33),AH33&gt;=EscDays),"ESCALATION REQUIRED ","")&amp;IF(AND(OR(C33="Open",C33="Deferred"),ISNUMBER(AJ33),AJ33&gt;=0,AJ33&lt;=Upcoming),"APPROACHING DEADLINE ","")&amp;IF(AND(OR(C33="Open",C33="Deferred"),AK33&gt;0),"DECISION OVERDUE ","")&amp;IF(AND(C33="Deferred",V33=""),"DEFERRAL WITHOUT REVIEW DATE ","")&amp;IF(AND(C33="Decided",AG33="",OR(AF33="",AF33&lt;ReviewDate)),"DECISION NOT IMPLEMENTED ","")&amp;IF(AND(NOT(OR(C33="Open",C33="Deferred")),Y33=""),"CLOSURE DATE MISSING ","")&amp;IF(AND(ISNUMBER(Y33),Y33&lt;M33),"INVALID DATE ORDER ",""))&amp;IF(AND(A33&lt;&gt;"",AM33&lt;&gt;"",AM33&lt;&gt;"Consumer accepted",AM33&lt;&gt;"Authorised removal"),"LINKED DEPENDENCY UNRESOLVED ","")</f>
        <v/>
      </c>
      <c r="H33" s="11" t="str">
        <f t="shared" si="1"/>
        <v/>
      </c>
      <c r="I33" s="8"/>
      <c r="J33" s="8"/>
      <c r="K33" s="8"/>
      <c r="L33" s="9"/>
      <c r="M33" s="9"/>
      <c r="N33" s="8"/>
      <c r="O33" s="8"/>
      <c r="P33" s="8"/>
      <c r="Q33" s="8"/>
      <c r="R33" s="8"/>
      <c r="S33" s="8"/>
      <c r="T33" s="8"/>
      <c r="U33" s="8"/>
      <c r="V33" s="9"/>
      <c r="W33" s="8"/>
      <c r="X33" s="8"/>
      <c r="Y33" s="9"/>
      <c r="Z33" s="8"/>
      <c r="AA33" s="8"/>
      <c r="AB33" s="8"/>
      <c r="AC33" s="8"/>
      <c r="AD33" s="8"/>
      <c r="AE33" s="8"/>
      <c r="AF33" s="9"/>
      <c r="AG33" s="9"/>
      <c r="AH33" s="11" t="str">
        <f t="shared" si="2"/>
        <v/>
      </c>
      <c r="AI33" s="11" t="str">
        <f t="shared" si="3"/>
        <v/>
      </c>
      <c r="AJ33" s="11" t="str">
        <f t="shared" si="4"/>
        <v/>
      </c>
      <c r="AK33" s="11" t="str">
        <f t="shared" si="5"/>
        <v/>
      </c>
      <c r="AL33" s="11" t="str">
        <f t="shared" si="6"/>
        <v/>
      </c>
      <c r="AM33" s="11" t="str">
        <f>IF(A33="","",IF(AC33="","",IF(COUNTIF('05 - DEPENDENCIES'!$A$9:$A$58,AC33)=0,"Unknown ID",IF(COUNTIF('05 - DEPENDENCIES'!$A$9:$A$58,AC33)&gt;1,"Duplicate ID",INDEX('05 - DEPENDENCIES'!$AI$9:$AI$58,MATCH(AC33,'05 - DEPENDENCIES'!$A$9:$A$58,0))))))</f>
        <v/>
      </c>
    </row>
    <row r="34" spans="1:39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IF(A34="","",IF(COUNTIF('04 - DECISION LOG'!$A$9:$A$58,A34)&gt;1,"DUPLICATE ID ","")&amp;IF(ReviewDate="","SET REVIEW DATE ","")&amp;IF(C34="","STATUS MISSING ","")&amp;IF(E34="","DEADLINE MISSING ","")&amp;IF(D34="","OWNER MISSING ","")&amp;IF(AND(OR(C34="Open",C34="Deferred"),M34=""),"ACTIONABLE DATE MISSING ","")&amp;IF(AND(OR(C34="Open",C34="Deferred"),ISNUMBER(AH34),AH34&gt;=WarnDays),"THRESHOLD EXCEEDED ","")&amp;IF(AND(OR(C34="Open",C34="Deferred"),ISNUMBER(AH34),AH34&gt;=EscDays),"ESCALATION REQUIRED ","")&amp;IF(AND(OR(C34="Open",C34="Deferred"),ISNUMBER(AJ34),AJ34&gt;=0,AJ34&lt;=Upcoming),"APPROACHING DEADLINE ","")&amp;IF(AND(OR(C34="Open",C34="Deferred"),AK34&gt;0),"DECISION OVERDUE ","")&amp;IF(AND(C34="Deferred",V34=""),"DEFERRAL WITHOUT REVIEW DATE ","")&amp;IF(AND(C34="Decided",AG34="",OR(AF34="",AF34&lt;ReviewDate)),"DECISION NOT IMPLEMENTED ","")&amp;IF(AND(NOT(OR(C34="Open",C34="Deferred")),Y34=""),"CLOSURE DATE MISSING ","")&amp;IF(AND(ISNUMBER(Y34),Y34&lt;M34),"INVALID DATE ORDER ",""))&amp;IF(AND(A34&lt;&gt;"",AM34&lt;&gt;"",AM34&lt;&gt;"Consumer accepted",AM34&lt;&gt;"Authorised removal"),"LINKED DEPENDENCY UNRESOLVED ","")</f>
        <v/>
      </c>
      <c r="H34" s="11" t="str">
        <f t="shared" si="1"/>
        <v/>
      </c>
      <c r="I34" s="8"/>
      <c r="J34" s="8"/>
      <c r="K34" s="8"/>
      <c r="L34" s="9"/>
      <c r="M34" s="9"/>
      <c r="N34" s="8"/>
      <c r="O34" s="8"/>
      <c r="P34" s="8"/>
      <c r="Q34" s="8"/>
      <c r="R34" s="8"/>
      <c r="S34" s="8"/>
      <c r="T34" s="8"/>
      <c r="U34" s="8"/>
      <c r="V34" s="9"/>
      <c r="W34" s="8"/>
      <c r="X34" s="8"/>
      <c r="Y34" s="9"/>
      <c r="Z34" s="8"/>
      <c r="AA34" s="8"/>
      <c r="AB34" s="8"/>
      <c r="AC34" s="8"/>
      <c r="AD34" s="8"/>
      <c r="AE34" s="8"/>
      <c r="AF34" s="9"/>
      <c r="AG34" s="9"/>
      <c r="AH34" s="11" t="str">
        <f t="shared" si="2"/>
        <v/>
      </c>
      <c r="AI34" s="11" t="str">
        <f t="shared" si="3"/>
        <v/>
      </c>
      <c r="AJ34" s="11" t="str">
        <f t="shared" si="4"/>
        <v/>
      </c>
      <c r="AK34" s="11" t="str">
        <f t="shared" si="5"/>
        <v/>
      </c>
      <c r="AL34" s="11" t="str">
        <f t="shared" si="6"/>
        <v/>
      </c>
      <c r="AM34" s="11" t="str">
        <f>IF(A34="","",IF(AC34="","",IF(COUNTIF('05 - DEPENDENCIES'!$A$9:$A$58,AC34)=0,"Unknown ID",IF(COUNTIF('05 - DEPENDENCIES'!$A$9:$A$58,AC34)&gt;1,"Duplicate ID",INDEX('05 - DEPENDENCIES'!$AI$9:$AI$58,MATCH(AC34,'05 - DEPENDENCIES'!$A$9:$A$58,0))))))</f>
        <v/>
      </c>
    </row>
    <row r="35" spans="1:39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IF(A35="","",IF(COUNTIF('04 - DECISION LOG'!$A$9:$A$58,A35)&gt;1,"DUPLICATE ID ","")&amp;IF(ReviewDate="","SET REVIEW DATE ","")&amp;IF(C35="","STATUS MISSING ","")&amp;IF(E35="","DEADLINE MISSING ","")&amp;IF(D35="","OWNER MISSING ","")&amp;IF(AND(OR(C35="Open",C35="Deferred"),M35=""),"ACTIONABLE DATE MISSING ","")&amp;IF(AND(OR(C35="Open",C35="Deferred"),ISNUMBER(AH35),AH35&gt;=WarnDays),"THRESHOLD EXCEEDED ","")&amp;IF(AND(OR(C35="Open",C35="Deferred"),ISNUMBER(AH35),AH35&gt;=EscDays),"ESCALATION REQUIRED ","")&amp;IF(AND(OR(C35="Open",C35="Deferred"),ISNUMBER(AJ35),AJ35&gt;=0,AJ35&lt;=Upcoming),"APPROACHING DEADLINE ","")&amp;IF(AND(OR(C35="Open",C35="Deferred"),AK35&gt;0),"DECISION OVERDUE ","")&amp;IF(AND(C35="Deferred",V35=""),"DEFERRAL WITHOUT REVIEW DATE ","")&amp;IF(AND(C35="Decided",AG35="",OR(AF35="",AF35&lt;ReviewDate)),"DECISION NOT IMPLEMENTED ","")&amp;IF(AND(NOT(OR(C35="Open",C35="Deferred")),Y35=""),"CLOSURE DATE MISSING ","")&amp;IF(AND(ISNUMBER(Y35),Y35&lt;M35),"INVALID DATE ORDER ",""))&amp;IF(AND(A35&lt;&gt;"",AM35&lt;&gt;"",AM35&lt;&gt;"Consumer accepted",AM35&lt;&gt;"Authorised removal"),"LINKED DEPENDENCY UNRESOLVED ","")</f>
        <v/>
      </c>
      <c r="H35" s="11" t="str">
        <f t="shared" si="1"/>
        <v/>
      </c>
      <c r="I35" s="8"/>
      <c r="J35" s="8"/>
      <c r="K35" s="8"/>
      <c r="L35" s="9"/>
      <c r="M35" s="9"/>
      <c r="N35" s="8"/>
      <c r="O35" s="8"/>
      <c r="P35" s="8"/>
      <c r="Q35" s="8"/>
      <c r="R35" s="8"/>
      <c r="S35" s="8"/>
      <c r="T35" s="8"/>
      <c r="U35" s="8"/>
      <c r="V35" s="9"/>
      <c r="W35" s="8"/>
      <c r="X35" s="8"/>
      <c r="Y35" s="9"/>
      <c r="Z35" s="8"/>
      <c r="AA35" s="8"/>
      <c r="AB35" s="8"/>
      <c r="AC35" s="8"/>
      <c r="AD35" s="8"/>
      <c r="AE35" s="8"/>
      <c r="AF35" s="9"/>
      <c r="AG35" s="9"/>
      <c r="AH35" s="11" t="str">
        <f t="shared" si="2"/>
        <v/>
      </c>
      <c r="AI35" s="11" t="str">
        <f t="shared" si="3"/>
        <v/>
      </c>
      <c r="AJ35" s="11" t="str">
        <f t="shared" si="4"/>
        <v/>
      </c>
      <c r="AK35" s="11" t="str">
        <f t="shared" si="5"/>
        <v/>
      </c>
      <c r="AL35" s="11" t="str">
        <f t="shared" si="6"/>
        <v/>
      </c>
      <c r="AM35" s="11" t="str">
        <f>IF(A35="","",IF(AC35="","",IF(COUNTIF('05 - DEPENDENCIES'!$A$9:$A$58,AC35)=0,"Unknown ID",IF(COUNTIF('05 - DEPENDENCIES'!$A$9:$A$58,AC35)&gt;1,"Duplicate ID",INDEX('05 - DEPENDENCIES'!$AI$9:$AI$58,MATCH(AC35,'05 - DEPENDENCIES'!$A$9:$A$58,0))))))</f>
        <v/>
      </c>
    </row>
    <row r="36" spans="1:39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IF(A36="","",IF(COUNTIF('04 - DECISION LOG'!$A$9:$A$58,A36)&gt;1,"DUPLICATE ID ","")&amp;IF(ReviewDate="","SET REVIEW DATE ","")&amp;IF(C36="","STATUS MISSING ","")&amp;IF(E36="","DEADLINE MISSING ","")&amp;IF(D36="","OWNER MISSING ","")&amp;IF(AND(OR(C36="Open",C36="Deferred"),M36=""),"ACTIONABLE DATE MISSING ","")&amp;IF(AND(OR(C36="Open",C36="Deferred"),ISNUMBER(AH36),AH36&gt;=WarnDays),"THRESHOLD EXCEEDED ","")&amp;IF(AND(OR(C36="Open",C36="Deferred"),ISNUMBER(AH36),AH36&gt;=EscDays),"ESCALATION REQUIRED ","")&amp;IF(AND(OR(C36="Open",C36="Deferred"),ISNUMBER(AJ36),AJ36&gt;=0,AJ36&lt;=Upcoming),"APPROACHING DEADLINE ","")&amp;IF(AND(OR(C36="Open",C36="Deferred"),AK36&gt;0),"DECISION OVERDUE ","")&amp;IF(AND(C36="Deferred",V36=""),"DEFERRAL WITHOUT REVIEW DATE ","")&amp;IF(AND(C36="Decided",AG36="",OR(AF36="",AF36&lt;ReviewDate)),"DECISION NOT IMPLEMENTED ","")&amp;IF(AND(NOT(OR(C36="Open",C36="Deferred")),Y36=""),"CLOSURE DATE MISSING ","")&amp;IF(AND(ISNUMBER(Y36),Y36&lt;M36),"INVALID DATE ORDER ",""))&amp;IF(AND(A36&lt;&gt;"",AM36&lt;&gt;"",AM36&lt;&gt;"Consumer accepted",AM36&lt;&gt;"Authorised removal"),"LINKED DEPENDENCY UNRESOLVED ","")</f>
        <v/>
      </c>
      <c r="H36" s="11" t="str">
        <f t="shared" si="1"/>
        <v/>
      </c>
      <c r="I36" s="8"/>
      <c r="J36" s="8"/>
      <c r="K36" s="8"/>
      <c r="L36" s="9"/>
      <c r="M36" s="9"/>
      <c r="N36" s="8"/>
      <c r="O36" s="8"/>
      <c r="P36" s="8"/>
      <c r="Q36" s="8"/>
      <c r="R36" s="8"/>
      <c r="S36" s="8"/>
      <c r="T36" s="8"/>
      <c r="U36" s="8"/>
      <c r="V36" s="9"/>
      <c r="W36" s="8"/>
      <c r="X36" s="8"/>
      <c r="Y36" s="9"/>
      <c r="Z36" s="8"/>
      <c r="AA36" s="8"/>
      <c r="AB36" s="8"/>
      <c r="AC36" s="8"/>
      <c r="AD36" s="8"/>
      <c r="AE36" s="8"/>
      <c r="AF36" s="9"/>
      <c r="AG36" s="9"/>
      <c r="AH36" s="11" t="str">
        <f t="shared" si="2"/>
        <v/>
      </c>
      <c r="AI36" s="11" t="str">
        <f t="shared" si="3"/>
        <v/>
      </c>
      <c r="AJ36" s="11" t="str">
        <f t="shared" si="4"/>
        <v/>
      </c>
      <c r="AK36" s="11" t="str">
        <f t="shared" si="5"/>
        <v/>
      </c>
      <c r="AL36" s="11" t="str">
        <f t="shared" si="6"/>
        <v/>
      </c>
      <c r="AM36" s="11" t="str">
        <f>IF(A36="","",IF(AC36="","",IF(COUNTIF('05 - DEPENDENCIES'!$A$9:$A$58,AC36)=0,"Unknown ID",IF(COUNTIF('05 - DEPENDENCIES'!$A$9:$A$58,AC36)&gt;1,"Duplicate ID",INDEX('05 - DEPENDENCIES'!$AI$9:$AI$58,MATCH(AC36,'05 - DEPENDENCIES'!$A$9:$A$58,0))))))</f>
        <v/>
      </c>
    </row>
    <row r="37" spans="1:39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IF(A37="","",IF(COUNTIF('04 - DECISION LOG'!$A$9:$A$58,A37)&gt;1,"DUPLICATE ID ","")&amp;IF(ReviewDate="","SET REVIEW DATE ","")&amp;IF(C37="","STATUS MISSING ","")&amp;IF(E37="","DEADLINE MISSING ","")&amp;IF(D37="","OWNER MISSING ","")&amp;IF(AND(OR(C37="Open",C37="Deferred"),M37=""),"ACTIONABLE DATE MISSING ","")&amp;IF(AND(OR(C37="Open",C37="Deferred"),ISNUMBER(AH37),AH37&gt;=WarnDays),"THRESHOLD EXCEEDED ","")&amp;IF(AND(OR(C37="Open",C37="Deferred"),ISNUMBER(AH37),AH37&gt;=EscDays),"ESCALATION REQUIRED ","")&amp;IF(AND(OR(C37="Open",C37="Deferred"),ISNUMBER(AJ37),AJ37&gt;=0,AJ37&lt;=Upcoming),"APPROACHING DEADLINE ","")&amp;IF(AND(OR(C37="Open",C37="Deferred"),AK37&gt;0),"DECISION OVERDUE ","")&amp;IF(AND(C37="Deferred",V37=""),"DEFERRAL WITHOUT REVIEW DATE ","")&amp;IF(AND(C37="Decided",AG37="",OR(AF37="",AF37&lt;ReviewDate)),"DECISION NOT IMPLEMENTED ","")&amp;IF(AND(NOT(OR(C37="Open",C37="Deferred")),Y37=""),"CLOSURE DATE MISSING ","")&amp;IF(AND(ISNUMBER(Y37),Y37&lt;M37),"INVALID DATE ORDER ",""))&amp;IF(AND(A37&lt;&gt;"",AM37&lt;&gt;"",AM37&lt;&gt;"Consumer accepted",AM37&lt;&gt;"Authorised removal"),"LINKED DEPENDENCY UNRESOLVED ","")</f>
        <v/>
      </c>
      <c r="H37" s="11" t="str">
        <f t="shared" si="1"/>
        <v/>
      </c>
      <c r="I37" s="8"/>
      <c r="J37" s="8"/>
      <c r="K37" s="8"/>
      <c r="L37" s="9"/>
      <c r="M37" s="9"/>
      <c r="N37" s="8"/>
      <c r="O37" s="8"/>
      <c r="P37" s="8"/>
      <c r="Q37" s="8"/>
      <c r="R37" s="8"/>
      <c r="S37" s="8"/>
      <c r="T37" s="8"/>
      <c r="U37" s="8"/>
      <c r="V37" s="9"/>
      <c r="W37" s="8"/>
      <c r="X37" s="8"/>
      <c r="Y37" s="9"/>
      <c r="Z37" s="8"/>
      <c r="AA37" s="8"/>
      <c r="AB37" s="8"/>
      <c r="AC37" s="8"/>
      <c r="AD37" s="8"/>
      <c r="AE37" s="8"/>
      <c r="AF37" s="9"/>
      <c r="AG37" s="9"/>
      <c r="AH37" s="11" t="str">
        <f t="shared" si="2"/>
        <v/>
      </c>
      <c r="AI37" s="11" t="str">
        <f t="shared" si="3"/>
        <v/>
      </c>
      <c r="AJ37" s="11" t="str">
        <f t="shared" si="4"/>
        <v/>
      </c>
      <c r="AK37" s="11" t="str">
        <f t="shared" si="5"/>
        <v/>
      </c>
      <c r="AL37" s="11" t="str">
        <f t="shared" si="6"/>
        <v/>
      </c>
      <c r="AM37" s="11" t="str">
        <f>IF(A37="","",IF(AC37="","",IF(COUNTIF('05 - DEPENDENCIES'!$A$9:$A$58,AC37)=0,"Unknown ID",IF(COUNTIF('05 - DEPENDENCIES'!$A$9:$A$58,AC37)&gt;1,"Duplicate ID",INDEX('05 - DEPENDENCIES'!$AI$9:$AI$58,MATCH(AC37,'05 - DEPENDENCIES'!$A$9:$A$58,0))))))</f>
        <v/>
      </c>
    </row>
    <row r="38" spans="1:39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IF(A38="","",IF(COUNTIF('04 - DECISION LOG'!$A$9:$A$58,A38)&gt;1,"DUPLICATE ID ","")&amp;IF(ReviewDate="","SET REVIEW DATE ","")&amp;IF(C38="","STATUS MISSING ","")&amp;IF(E38="","DEADLINE MISSING ","")&amp;IF(D38="","OWNER MISSING ","")&amp;IF(AND(OR(C38="Open",C38="Deferred"),M38=""),"ACTIONABLE DATE MISSING ","")&amp;IF(AND(OR(C38="Open",C38="Deferred"),ISNUMBER(AH38),AH38&gt;=WarnDays),"THRESHOLD EXCEEDED ","")&amp;IF(AND(OR(C38="Open",C38="Deferred"),ISNUMBER(AH38),AH38&gt;=EscDays),"ESCALATION REQUIRED ","")&amp;IF(AND(OR(C38="Open",C38="Deferred"),ISNUMBER(AJ38),AJ38&gt;=0,AJ38&lt;=Upcoming),"APPROACHING DEADLINE ","")&amp;IF(AND(OR(C38="Open",C38="Deferred"),AK38&gt;0),"DECISION OVERDUE ","")&amp;IF(AND(C38="Deferred",V38=""),"DEFERRAL WITHOUT REVIEW DATE ","")&amp;IF(AND(C38="Decided",AG38="",OR(AF38="",AF38&lt;ReviewDate)),"DECISION NOT IMPLEMENTED ","")&amp;IF(AND(NOT(OR(C38="Open",C38="Deferred")),Y38=""),"CLOSURE DATE MISSING ","")&amp;IF(AND(ISNUMBER(Y38),Y38&lt;M38),"INVALID DATE ORDER ",""))&amp;IF(AND(A38&lt;&gt;"",AM38&lt;&gt;"",AM38&lt;&gt;"Consumer accepted",AM38&lt;&gt;"Authorised removal"),"LINKED DEPENDENCY UNRESOLVED ","")</f>
        <v/>
      </c>
      <c r="H38" s="11" t="str">
        <f t="shared" si="1"/>
        <v/>
      </c>
      <c r="I38" s="8"/>
      <c r="J38" s="8"/>
      <c r="K38" s="8"/>
      <c r="L38" s="9"/>
      <c r="M38" s="9"/>
      <c r="N38" s="8"/>
      <c r="O38" s="8"/>
      <c r="P38" s="8"/>
      <c r="Q38" s="8"/>
      <c r="R38" s="8"/>
      <c r="S38" s="8"/>
      <c r="T38" s="8"/>
      <c r="U38" s="8"/>
      <c r="V38" s="9"/>
      <c r="W38" s="8"/>
      <c r="X38" s="8"/>
      <c r="Y38" s="9"/>
      <c r="Z38" s="8"/>
      <c r="AA38" s="8"/>
      <c r="AB38" s="8"/>
      <c r="AC38" s="8"/>
      <c r="AD38" s="8"/>
      <c r="AE38" s="8"/>
      <c r="AF38" s="9"/>
      <c r="AG38" s="9"/>
      <c r="AH38" s="11" t="str">
        <f t="shared" si="2"/>
        <v/>
      </c>
      <c r="AI38" s="11" t="str">
        <f t="shared" si="3"/>
        <v/>
      </c>
      <c r="AJ38" s="11" t="str">
        <f t="shared" si="4"/>
        <v/>
      </c>
      <c r="AK38" s="11" t="str">
        <f t="shared" si="5"/>
        <v/>
      </c>
      <c r="AL38" s="11" t="str">
        <f t="shared" si="6"/>
        <v/>
      </c>
      <c r="AM38" s="11" t="str">
        <f>IF(A38="","",IF(AC38="","",IF(COUNTIF('05 - DEPENDENCIES'!$A$9:$A$58,AC38)=0,"Unknown ID",IF(COUNTIF('05 - DEPENDENCIES'!$A$9:$A$58,AC38)&gt;1,"Duplicate ID",INDEX('05 - DEPENDENCIES'!$AI$9:$AI$58,MATCH(AC38,'05 - DEPENDENCIES'!$A$9:$A$58,0))))))</f>
        <v/>
      </c>
    </row>
    <row r="39" spans="1:39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IF(A39="","",IF(COUNTIF('04 - DECISION LOG'!$A$9:$A$58,A39)&gt;1,"DUPLICATE ID ","")&amp;IF(ReviewDate="","SET REVIEW DATE ","")&amp;IF(C39="","STATUS MISSING ","")&amp;IF(E39="","DEADLINE MISSING ","")&amp;IF(D39="","OWNER MISSING ","")&amp;IF(AND(OR(C39="Open",C39="Deferred"),M39=""),"ACTIONABLE DATE MISSING ","")&amp;IF(AND(OR(C39="Open",C39="Deferred"),ISNUMBER(AH39),AH39&gt;=WarnDays),"THRESHOLD EXCEEDED ","")&amp;IF(AND(OR(C39="Open",C39="Deferred"),ISNUMBER(AH39),AH39&gt;=EscDays),"ESCALATION REQUIRED ","")&amp;IF(AND(OR(C39="Open",C39="Deferred"),ISNUMBER(AJ39),AJ39&gt;=0,AJ39&lt;=Upcoming),"APPROACHING DEADLINE ","")&amp;IF(AND(OR(C39="Open",C39="Deferred"),AK39&gt;0),"DECISION OVERDUE ","")&amp;IF(AND(C39="Deferred",V39=""),"DEFERRAL WITHOUT REVIEW DATE ","")&amp;IF(AND(C39="Decided",AG39="",OR(AF39="",AF39&lt;ReviewDate)),"DECISION NOT IMPLEMENTED ","")&amp;IF(AND(NOT(OR(C39="Open",C39="Deferred")),Y39=""),"CLOSURE DATE MISSING ","")&amp;IF(AND(ISNUMBER(Y39),Y39&lt;M39),"INVALID DATE ORDER ",""))&amp;IF(AND(A39&lt;&gt;"",AM39&lt;&gt;"",AM39&lt;&gt;"Consumer accepted",AM39&lt;&gt;"Authorised removal"),"LINKED DEPENDENCY UNRESOLVED ","")</f>
        <v/>
      </c>
      <c r="H39" s="11" t="str">
        <f t="shared" si="1"/>
        <v/>
      </c>
      <c r="I39" s="8"/>
      <c r="J39" s="8"/>
      <c r="K39" s="8"/>
      <c r="L39" s="9"/>
      <c r="M39" s="9"/>
      <c r="N39" s="8"/>
      <c r="O39" s="8"/>
      <c r="P39" s="8"/>
      <c r="Q39" s="8"/>
      <c r="R39" s="8"/>
      <c r="S39" s="8"/>
      <c r="T39" s="8"/>
      <c r="U39" s="8"/>
      <c r="V39" s="9"/>
      <c r="W39" s="8"/>
      <c r="X39" s="8"/>
      <c r="Y39" s="9"/>
      <c r="Z39" s="8"/>
      <c r="AA39" s="8"/>
      <c r="AB39" s="8"/>
      <c r="AC39" s="8"/>
      <c r="AD39" s="8"/>
      <c r="AE39" s="8"/>
      <c r="AF39" s="9"/>
      <c r="AG39" s="9"/>
      <c r="AH39" s="11" t="str">
        <f t="shared" si="2"/>
        <v/>
      </c>
      <c r="AI39" s="11" t="str">
        <f t="shared" si="3"/>
        <v/>
      </c>
      <c r="AJ39" s="11" t="str">
        <f t="shared" si="4"/>
        <v/>
      </c>
      <c r="AK39" s="11" t="str">
        <f t="shared" si="5"/>
        <v/>
      </c>
      <c r="AL39" s="11" t="str">
        <f t="shared" si="6"/>
        <v/>
      </c>
      <c r="AM39" s="11" t="str">
        <f>IF(A39="","",IF(AC39="","",IF(COUNTIF('05 - DEPENDENCIES'!$A$9:$A$58,AC39)=0,"Unknown ID",IF(COUNTIF('05 - DEPENDENCIES'!$A$9:$A$58,AC39)&gt;1,"Duplicate ID",INDEX('05 - DEPENDENCIES'!$AI$9:$AI$58,MATCH(AC39,'05 - DEPENDENCIES'!$A$9:$A$58,0))))))</f>
        <v/>
      </c>
    </row>
    <row r="40" spans="1:39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IF(A40="","",IF(COUNTIF('04 - DECISION LOG'!$A$9:$A$58,A40)&gt;1,"DUPLICATE ID ","")&amp;IF(ReviewDate="","SET REVIEW DATE ","")&amp;IF(C40="","STATUS MISSING ","")&amp;IF(E40="","DEADLINE MISSING ","")&amp;IF(D40="","OWNER MISSING ","")&amp;IF(AND(OR(C40="Open",C40="Deferred"),M40=""),"ACTIONABLE DATE MISSING ","")&amp;IF(AND(OR(C40="Open",C40="Deferred"),ISNUMBER(AH40),AH40&gt;=WarnDays),"THRESHOLD EXCEEDED ","")&amp;IF(AND(OR(C40="Open",C40="Deferred"),ISNUMBER(AH40),AH40&gt;=EscDays),"ESCALATION REQUIRED ","")&amp;IF(AND(OR(C40="Open",C40="Deferred"),ISNUMBER(AJ40),AJ40&gt;=0,AJ40&lt;=Upcoming),"APPROACHING DEADLINE ","")&amp;IF(AND(OR(C40="Open",C40="Deferred"),AK40&gt;0),"DECISION OVERDUE ","")&amp;IF(AND(C40="Deferred",V40=""),"DEFERRAL WITHOUT REVIEW DATE ","")&amp;IF(AND(C40="Decided",AG40="",OR(AF40="",AF40&lt;ReviewDate)),"DECISION NOT IMPLEMENTED ","")&amp;IF(AND(NOT(OR(C40="Open",C40="Deferred")),Y40=""),"CLOSURE DATE MISSING ","")&amp;IF(AND(ISNUMBER(Y40),Y40&lt;M40),"INVALID DATE ORDER ",""))&amp;IF(AND(A40&lt;&gt;"",AM40&lt;&gt;"",AM40&lt;&gt;"Consumer accepted",AM40&lt;&gt;"Authorised removal"),"LINKED DEPENDENCY UNRESOLVED ","")</f>
        <v/>
      </c>
      <c r="H40" s="11" t="str">
        <f t="shared" si="1"/>
        <v/>
      </c>
      <c r="I40" s="8"/>
      <c r="J40" s="8"/>
      <c r="K40" s="8"/>
      <c r="L40" s="9"/>
      <c r="M40" s="9"/>
      <c r="N40" s="8"/>
      <c r="O40" s="8"/>
      <c r="P40" s="8"/>
      <c r="Q40" s="8"/>
      <c r="R40" s="8"/>
      <c r="S40" s="8"/>
      <c r="T40" s="8"/>
      <c r="U40" s="8"/>
      <c r="V40" s="9"/>
      <c r="W40" s="8"/>
      <c r="X40" s="8"/>
      <c r="Y40" s="9"/>
      <c r="Z40" s="8"/>
      <c r="AA40" s="8"/>
      <c r="AB40" s="8"/>
      <c r="AC40" s="8"/>
      <c r="AD40" s="8"/>
      <c r="AE40" s="8"/>
      <c r="AF40" s="9"/>
      <c r="AG40" s="9"/>
      <c r="AH40" s="11" t="str">
        <f t="shared" si="2"/>
        <v/>
      </c>
      <c r="AI40" s="11" t="str">
        <f t="shared" si="3"/>
        <v/>
      </c>
      <c r="AJ40" s="11" t="str">
        <f t="shared" si="4"/>
        <v/>
      </c>
      <c r="AK40" s="11" t="str">
        <f t="shared" si="5"/>
        <v/>
      </c>
      <c r="AL40" s="11" t="str">
        <f t="shared" si="6"/>
        <v/>
      </c>
      <c r="AM40" s="11" t="str">
        <f>IF(A40="","",IF(AC40="","",IF(COUNTIF('05 - DEPENDENCIES'!$A$9:$A$58,AC40)=0,"Unknown ID",IF(COUNTIF('05 - DEPENDENCIES'!$A$9:$A$58,AC40)&gt;1,"Duplicate ID",INDEX('05 - DEPENDENCIES'!$AI$9:$AI$58,MATCH(AC40,'05 - DEPENDENCIES'!$A$9:$A$58,0))))))</f>
        <v/>
      </c>
    </row>
    <row r="41" spans="1:39" ht="60" customHeight="1">
      <c r="A41" s="8"/>
      <c r="B41" s="8"/>
      <c r="C41" s="8"/>
      <c r="D41" s="8"/>
      <c r="E41" s="9"/>
      <c r="F41" s="11" t="str">
        <f t="shared" ref="F41:F58" si="7">IF(A41="","",IF(AND(OR(C41="Open",C41="Deferred"),OR(AK41&gt;0,AND(ISNUMBER(AH41),AH41&gt;=EscDays))),"Critical",IF(G41&lt;&gt;"","Review","Routine")))</f>
        <v/>
      </c>
      <c r="G41" s="20" t="str">
        <f>IF(A41="","",IF(COUNTIF('04 - DECISION LOG'!$A$9:$A$58,A41)&gt;1,"DUPLICATE ID ","")&amp;IF(ReviewDate="","SET REVIEW DATE ","")&amp;IF(C41="","STATUS MISSING ","")&amp;IF(E41="","DEADLINE MISSING ","")&amp;IF(D41="","OWNER MISSING ","")&amp;IF(AND(OR(C41="Open",C41="Deferred"),M41=""),"ACTIONABLE DATE MISSING ","")&amp;IF(AND(OR(C41="Open",C41="Deferred"),ISNUMBER(AH41),AH41&gt;=WarnDays),"THRESHOLD EXCEEDED ","")&amp;IF(AND(OR(C41="Open",C41="Deferred"),ISNUMBER(AH41),AH41&gt;=EscDays),"ESCALATION REQUIRED ","")&amp;IF(AND(OR(C41="Open",C41="Deferred"),ISNUMBER(AJ41),AJ41&gt;=0,AJ41&lt;=Upcoming),"APPROACHING DEADLINE ","")&amp;IF(AND(OR(C41="Open",C41="Deferred"),AK41&gt;0),"DECISION OVERDUE ","")&amp;IF(AND(C41="Deferred",V41=""),"DEFERRAL WITHOUT REVIEW DATE ","")&amp;IF(AND(C41="Decided",AG41="",OR(AF41="",AF41&lt;ReviewDate)),"DECISION NOT IMPLEMENTED ","")&amp;IF(AND(NOT(OR(C41="Open",C41="Deferred")),Y41=""),"CLOSURE DATE MISSING ","")&amp;IF(AND(ISNUMBER(Y41),Y41&lt;M41),"INVALID DATE ORDER ",""))&amp;IF(AND(A41&lt;&gt;"",AM41&lt;&gt;"",AM41&lt;&gt;"Consumer accepted",AM41&lt;&gt;"Authorised removal"),"LINKED DEPENDENCY UNRESOLVED ","")</f>
        <v/>
      </c>
      <c r="H41" s="11" t="str">
        <f t="shared" ref="H41:H58" si="8">IF(A41="","",IF(F41="Critical","Escalate to named authority. Preserve original actionable date.",IF(C41="Decided","Confirm implementation and check whether the constraint was removed.","Prepare evidence and options for the accountable decision owner.")))</f>
        <v/>
      </c>
      <c r="I41" s="8"/>
      <c r="J41" s="8"/>
      <c r="K41" s="8"/>
      <c r="L41" s="9"/>
      <c r="M41" s="9"/>
      <c r="N41" s="8"/>
      <c r="O41" s="8"/>
      <c r="P41" s="8"/>
      <c r="Q41" s="8"/>
      <c r="R41" s="8"/>
      <c r="S41" s="8"/>
      <c r="T41" s="8"/>
      <c r="U41" s="8"/>
      <c r="V41" s="9"/>
      <c r="W41" s="8"/>
      <c r="X41" s="8"/>
      <c r="Y41" s="9"/>
      <c r="Z41" s="8"/>
      <c r="AA41" s="8"/>
      <c r="AB41" s="8"/>
      <c r="AC41" s="8"/>
      <c r="AD41" s="8"/>
      <c r="AE41" s="8"/>
      <c r="AF41" s="9"/>
      <c r="AG41" s="9"/>
      <c r="AH41" s="11" t="str">
        <f t="shared" ref="AH41:AH58" si="9">IF(A41="","",IF(AND(OR(C41="Open",C41="Deferred"),ISNUMBER(M41),ISNUMBER(ReviewDate)),MAX(0,ReviewDate-M41),""))</f>
        <v/>
      </c>
      <c r="AI41" s="11" t="str">
        <f t="shared" ref="AI41:AI58" si="10">IF(A41="","",IF(AND(NOT(OR(C41="Open",C41="Deferred")),ISNUMBER(Y41),ISNUMBER(M41)),Y41-M41,""))</f>
        <v/>
      </c>
      <c r="AJ41" s="11" t="str">
        <f t="shared" ref="AJ41:AJ58" si="11">IF(A41="","",IF(AND(OR(C41="Open",C41="Deferred"),ISNUMBER(E41),ISNUMBER(ReviewDate)),E41-ReviewDate,""))</f>
        <v/>
      </c>
      <c r="AK41" s="11" t="str">
        <f t="shared" ref="AK41:AK58" si="12">IF(A41="","",IF(ISNUMBER(AJ41),MAX(0,-AJ41),""))</f>
        <v/>
      </c>
      <c r="AL41" s="11" t="str">
        <f t="shared" ref="AL41:AL58" si="13">IF(A41="","",IF(AND(C41="Decided",ISNUMBER(Y41)),IF(ISNUMBER(AG41),AG41,ReviewDate)-Y41,""))</f>
        <v/>
      </c>
      <c r="AM41" s="11" t="str">
        <f>IF(A41="","",IF(AC41="","",IF(COUNTIF('05 - DEPENDENCIES'!$A$9:$A$58,AC41)=0,"Unknown ID",IF(COUNTIF('05 - DEPENDENCIES'!$A$9:$A$58,AC41)&gt;1,"Duplicate ID",INDEX('05 - DEPENDENCIES'!$AI$9:$AI$58,MATCH(AC41,'05 - DEPENDENCIES'!$A$9:$A$58,0))))))</f>
        <v/>
      </c>
    </row>
    <row r="42" spans="1:39" ht="60" customHeight="1">
      <c r="A42" s="8"/>
      <c r="B42" s="8"/>
      <c r="C42" s="8"/>
      <c r="D42" s="8"/>
      <c r="E42" s="9"/>
      <c r="F42" s="11" t="str">
        <f t="shared" si="7"/>
        <v/>
      </c>
      <c r="G42" s="20" t="str">
        <f>IF(A42="","",IF(COUNTIF('04 - DECISION LOG'!$A$9:$A$58,A42)&gt;1,"DUPLICATE ID ","")&amp;IF(ReviewDate="","SET REVIEW DATE ","")&amp;IF(C42="","STATUS MISSING ","")&amp;IF(E42="","DEADLINE MISSING ","")&amp;IF(D42="","OWNER MISSING ","")&amp;IF(AND(OR(C42="Open",C42="Deferred"),M42=""),"ACTIONABLE DATE MISSING ","")&amp;IF(AND(OR(C42="Open",C42="Deferred"),ISNUMBER(AH42),AH42&gt;=WarnDays),"THRESHOLD EXCEEDED ","")&amp;IF(AND(OR(C42="Open",C42="Deferred"),ISNUMBER(AH42),AH42&gt;=EscDays),"ESCALATION REQUIRED ","")&amp;IF(AND(OR(C42="Open",C42="Deferred"),ISNUMBER(AJ42),AJ42&gt;=0,AJ42&lt;=Upcoming),"APPROACHING DEADLINE ","")&amp;IF(AND(OR(C42="Open",C42="Deferred"),AK42&gt;0),"DECISION OVERDUE ","")&amp;IF(AND(C42="Deferred",V42=""),"DEFERRAL WITHOUT REVIEW DATE ","")&amp;IF(AND(C42="Decided",AG42="",OR(AF42="",AF42&lt;ReviewDate)),"DECISION NOT IMPLEMENTED ","")&amp;IF(AND(NOT(OR(C42="Open",C42="Deferred")),Y42=""),"CLOSURE DATE MISSING ","")&amp;IF(AND(ISNUMBER(Y42),Y42&lt;M42),"INVALID DATE ORDER ",""))&amp;IF(AND(A42&lt;&gt;"",AM42&lt;&gt;"",AM42&lt;&gt;"Consumer accepted",AM42&lt;&gt;"Authorised removal"),"LINKED DEPENDENCY UNRESOLVED ","")</f>
        <v/>
      </c>
      <c r="H42" s="11" t="str">
        <f t="shared" si="8"/>
        <v/>
      </c>
      <c r="I42" s="8"/>
      <c r="J42" s="8"/>
      <c r="K42" s="8"/>
      <c r="L42" s="9"/>
      <c r="M42" s="9"/>
      <c r="N42" s="8"/>
      <c r="O42" s="8"/>
      <c r="P42" s="8"/>
      <c r="Q42" s="8"/>
      <c r="R42" s="8"/>
      <c r="S42" s="8"/>
      <c r="T42" s="8"/>
      <c r="U42" s="8"/>
      <c r="V42" s="9"/>
      <c r="W42" s="8"/>
      <c r="X42" s="8"/>
      <c r="Y42" s="9"/>
      <c r="Z42" s="8"/>
      <c r="AA42" s="8"/>
      <c r="AB42" s="8"/>
      <c r="AC42" s="8"/>
      <c r="AD42" s="8"/>
      <c r="AE42" s="8"/>
      <c r="AF42" s="9"/>
      <c r="AG42" s="9"/>
      <c r="AH42" s="11" t="str">
        <f t="shared" si="9"/>
        <v/>
      </c>
      <c r="AI42" s="11" t="str">
        <f t="shared" si="10"/>
        <v/>
      </c>
      <c r="AJ42" s="11" t="str">
        <f t="shared" si="11"/>
        <v/>
      </c>
      <c r="AK42" s="11" t="str">
        <f t="shared" si="12"/>
        <v/>
      </c>
      <c r="AL42" s="11" t="str">
        <f t="shared" si="13"/>
        <v/>
      </c>
      <c r="AM42" s="11" t="str">
        <f>IF(A42="","",IF(AC42="","",IF(COUNTIF('05 - DEPENDENCIES'!$A$9:$A$58,AC42)=0,"Unknown ID",IF(COUNTIF('05 - DEPENDENCIES'!$A$9:$A$58,AC42)&gt;1,"Duplicate ID",INDEX('05 - DEPENDENCIES'!$AI$9:$AI$58,MATCH(AC42,'05 - DEPENDENCIES'!$A$9:$A$58,0))))))</f>
        <v/>
      </c>
    </row>
    <row r="43" spans="1:39" ht="60" customHeight="1">
      <c r="A43" s="8"/>
      <c r="B43" s="8"/>
      <c r="C43" s="8"/>
      <c r="D43" s="8"/>
      <c r="E43" s="9"/>
      <c r="F43" s="11" t="str">
        <f t="shared" si="7"/>
        <v/>
      </c>
      <c r="G43" s="20" t="str">
        <f>IF(A43="","",IF(COUNTIF('04 - DECISION LOG'!$A$9:$A$58,A43)&gt;1,"DUPLICATE ID ","")&amp;IF(ReviewDate="","SET REVIEW DATE ","")&amp;IF(C43="","STATUS MISSING ","")&amp;IF(E43="","DEADLINE MISSING ","")&amp;IF(D43="","OWNER MISSING ","")&amp;IF(AND(OR(C43="Open",C43="Deferred"),M43=""),"ACTIONABLE DATE MISSING ","")&amp;IF(AND(OR(C43="Open",C43="Deferred"),ISNUMBER(AH43),AH43&gt;=WarnDays),"THRESHOLD EXCEEDED ","")&amp;IF(AND(OR(C43="Open",C43="Deferred"),ISNUMBER(AH43),AH43&gt;=EscDays),"ESCALATION REQUIRED ","")&amp;IF(AND(OR(C43="Open",C43="Deferred"),ISNUMBER(AJ43),AJ43&gt;=0,AJ43&lt;=Upcoming),"APPROACHING DEADLINE ","")&amp;IF(AND(OR(C43="Open",C43="Deferred"),AK43&gt;0),"DECISION OVERDUE ","")&amp;IF(AND(C43="Deferred",V43=""),"DEFERRAL WITHOUT REVIEW DATE ","")&amp;IF(AND(C43="Decided",AG43="",OR(AF43="",AF43&lt;ReviewDate)),"DECISION NOT IMPLEMENTED ","")&amp;IF(AND(NOT(OR(C43="Open",C43="Deferred")),Y43=""),"CLOSURE DATE MISSING ","")&amp;IF(AND(ISNUMBER(Y43),Y43&lt;M43),"INVALID DATE ORDER ",""))&amp;IF(AND(A43&lt;&gt;"",AM43&lt;&gt;"",AM43&lt;&gt;"Consumer accepted",AM43&lt;&gt;"Authorised removal"),"LINKED DEPENDENCY UNRESOLVED ","")</f>
        <v/>
      </c>
      <c r="H43" s="11" t="str">
        <f t="shared" si="8"/>
        <v/>
      </c>
      <c r="I43" s="8"/>
      <c r="J43" s="8"/>
      <c r="K43" s="8"/>
      <c r="L43" s="9"/>
      <c r="M43" s="9"/>
      <c r="N43" s="8"/>
      <c r="O43" s="8"/>
      <c r="P43" s="8"/>
      <c r="Q43" s="8"/>
      <c r="R43" s="8"/>
      <c r="S43" s="8"/>
      <c r="T43" s="8"/>
      <c r="U43" s="8"/>
      <c r="V43" s="9"/>
      <c r="W43" s="8"/>
      <c r="X43" s="8"/>
      <c r="Y43" s="9"/>
      <c r="Z43" s="8"/>
      <c r="AA43" s="8"/>
      <c r="AB43" s="8"/>
      <c r="AC43" s="8"/>
      <c r="AD43" s="8"/>
      <c r="AE43" s="8"/>
      <c r="AF43" s="9"/>
      <c r="AG43" s="9"/>
      <c r="AH43" s="11" t="str">
        <f t="shared" si="9"/>
        <v/>
      </c>
      <c r="AI43" s="11" t="str">
        <f t="shared" si="10"/>
        <v/>
      </c>
      <c r="AJ43" s="11" t="str">
        <f t="shared" si="11"/>
        <v/>
      </c>
      <c r="AK43" s="11" t="str">
        <f t="shared" si="12"/>
        <v/>
      </c>
      <c r="AL43" s="11" t="str">
        <f t="shared" si="13"/>
        <v/>
      </c>
      <c r="AM43" s="11" t="str">
        <f>IF(A43="","",IF(AC43="","",IF(COUNTIF('05 - DEPENDENCIES'!$A$9:$A$58,AC43)=0,"Unknown ID",IF(COUNTIF('05 - DEPENDENCIES'!$A$9:$A$58,AC43)&gt;1,"Duplicate ID",INDEX('05 - DEPENDENCIES'!$AI$9:$AI$58,MATCH(AC43,'05 - DEPENDENCIES'!$A$9:$A$58,0))))))</f>
        <v/>
      </c>
    </row>
    <row r="44" spans="1:39" ht="60" customHeight="1">
      <c r="A44" s="8"/>
      <c r="B44" s="8"/>
      <c r="C44" s="8"/>
      <c r="D44" s="8"/>
      <c r="E44" s="9"/>
      <c r="F44" s="11" t="str">
        <f t="shared" si="7"/>
        <v/>
      </c>
      <c r="G44" s="20" t="str">
        <f>IF(A44="","",IF(COUNTIF('04 - DECISION LOG'!$A$9:$A$58,A44)&gt;1,"DUPLICATE ID ","")&amp;IF(ReviewDate="","SET REVIEW DATE ","")&amp;IF(C44="","STATUS MISSING ","")&amp;IF(E44="","DEADLINE MISSING ","")&amp;IF(D44="","OWNER MISSING ","")&amp;IF(AND(OR(C44="Open",C44="Deferred"),M44=""),"ACTIONABLE DATE MISSING ","")&amp;IF(AND(OR(C44="Open",C44="Deferred"),ISNUMBER(AH44),AH44&gt;=WarnDays),"THRESHOLD EXCEEDED ","")&amp;IF(AND(OR(C44="Open",C44="Deferred"),ISNUMBER(AH44),AH44&gt;=EscDays),"ESCALATION REQUIRED ","")&amp;IF(AND(OR(C44="Open",C44="Deferred"),ISNUMBER(AJ44),AJ44&gt;=0,AJ44&lt;=Upcoming),"APPROACHING DEADLINE ","")&amp;IF(AND(OR(C44="Open",C44="Deferred"),AK44&gt;0),"DECISION OVERDUE ","")&amp;IF(AND(C44="Deferred",V44=""),"DEFERRAL WITHOUT REVIEW DATE ","")&amp;IF(AND(C44="Decided",AG44="",OR(AF44="",AF44&lt;ReviewDate)),"DECISION NOT IMPLEMENTED ","")&amp;IF(AND(NOT(OR(C44="Open",C44="Deferred")),Y44=""),"CLOSURE DATE MISSING ","")&amp;IF(AND(ISNUMBER(Y44),Y44&lt;M44),"INVALID DATE ORDER ",""))&amp;IF(AND(A44&lt;&gt;"",AM44&lt;&gt;"",AM44&lt;&gt;"Consumer accepted",AM44&lt;&gt;"Authorised removal"),"LINKED DEPENDENCY UNRESOLVED ","")</f>
        <v/>
      </c>
      <c r="H44" s="11" t="str">
        <f t="shared" si="8"/>
        <v/>
      </c>
      <c r="I44" s="8"/>
      <c r="J44" s="8"/>
      <c r="K44" s="8"/>
      <c r="L44" s="9"/>
      <c r="M44" s="9"/>
      <c r="N44" s="8"/>
      <c r="O44" s="8"/>
      <c r="P44" s="8"/>
      <c r="Q44" s="8"/>
      <c r="R44" s="8"/>
      <c r="S44" s="8"/>
      <c r="T44" s="8"/>
      <c r="U44" s="8"/>
      <c r="V44" s="9"/>
      <c r="W44" s="8"/>
      <c r="X44" s="8"/>
      <c r="Y44" s="9"/>
      <c r="Z44" s="8"/>
      <c r="AA44" s="8"/>
      <c r="AB44" s="8"/>
      <c r="AC44" s="8"/>
      <c r="AD44" s="8"/>
      <c r="AE44" s="8"/>
      <c r="AF44" s="9"/>
      <c r="AG44" s="9"/>
      <c r="AH44" s="11" t="str">
        <f t="shared" si="9"/>
        <v/>
      </c>
      <c r="AI44" s="11" t="str">
        <f t="shared" si="10"/>
        <v/>
      </c>
      <c r="AJ44" s="11" t="str">
        <f t="shared" si="11"/>
        <v/>
      </c>
      <c r="AK44" s="11" t="str">
        <f t="shared" si="12"/>
        <v/>
      </c>
      <c r="AL44" s="11" t="str">
        <f t="shared" si="13"/>
        <v/>
      </c>
      <c r="AM44" s="11" t="str">
        <f>IF(A44="","",IF(AC44="","",IF(COUNTIF('05 - DEPENDENCIES'!$A$9:$A$58,AC44)=0,"Unknown ID",IF(COUNTIF('05 - DEPENDENCIES'!$A$9:$A$58,AC44)&gt;1,"Duplicate ID",INDEX('05 - DEPENDENCIES'!$AI$9:$AI$58,MATCH(AC44,'05 - DEPENDENCIES'!$A$9:$A$58,0))))))</f>
        <v/>
      </c>
    </row>
    <row r="45" spans="1:39" ht="60" customHeight="1">
      <c r="A45" s="8"/>
      <c r="B45" s="8"/>
      <c r="C45" s="8"/>
      <c r="D45" s="8"/>
      <c r="E45" s="9"/>
      <c r="F45" s="11" t="str">
        <f t="shared" si="7"/>
        <v/>
      </c>
      <c r="G45" s="20" t="str">
        <f>IF(A45="","",IF(COUNTIF('04 - DECISION LOG'!$A$9:$A$58,A45)&gt;1,"DUPLICATE ID ","")&amp;IF(ReviewDate="","SET REVIEW DATE ","")&amp;IF(C45="","STATUS MISSING ","")&amp;IF(E45="","DEADLINE MISSING ","")&amp;IF(D45="","OWNER MISSING ","")&amp;IF(AND(OR(C45="Open",C45="Deferred"),M45=""),"ACTIONABLE DATE MISSING ","")&amp;IF(AND(OR(C45="Open",C45="Deferred"),ISNUMBER(AH45),AH45&gt;=WarnDays),"THRESHOLD EXCEEDED ","")&amp;IF(AND(OR(C45="Open",C45="Deferred"),ISNUMBER(AH45),AH45&gt;=EscDays),"ESCALATION REQUIRED ","")&amp;IF(AND(OR(C45="Open",C45="Deferred"),ISNUMBER(AJ45),AJ45&gt;=0,AJ45&lt;=Upcoming),"APPROACHING DEADLINE ","")&amp;IF(AND(OR(C45="Open",C45="Deferred"),AK45&gt;0),"DECISION OVERDUE ","")&amp;IF(AND(C45="Deferred",V45=""),"DEFERRAL WITHOUT REVIEW DATE ","")&amp;IF(AND(C45="Decided",AG45="",OR(AF45="",AF45&lt;ReviewDate)),"DECISION NOT IMPLEMENTED ","")&amp;IF(AND(NOT(OR(C45="Open",C45="Deferred")),Y45=""),"CLOSURE DATE MISSING ","")&amp;IF(AND(ISNUMBER(Y45),Y45&lt;M45),"INVALID DATE ORDER ",""))&amp;IF(AND(A45&lt;&gt;"",AM45&lt;&gt;"",AM45&lt;&gt;"Consumer accepted",AM45&lt;&gt;"Authorised removal"),"LINKED DEPENDENCY UNRESOLVED ","")</f>
        <v/>
      </c>
      <c r="H45" s="11" t="str">
        <f t="shared" si="8"/>
        <v/>
      </c>
      <c r="I45" s="8"/>
      <c r="J45" s="8"/>
      <c r="K45" s="8"/>
      <c r="L45" s="9"/>
      <c r="M45" s="9"/>
      <c r="N45" s="8"/>
      <c r="O45" s="8"/>
      <c r="P45" s="8"/>
      <c r="Q45" s="8"/>
      <c r="R45" s="8"/>
      <c r="S45" s="8"/>
      <c r="T45" s="8"/>
      <c r="U45" s="8"/>
      <c r="V45" s="9"/>
      <c r="W45" s="8"/>
      <c r="X45" s="8"/>
      <c r="Y45" s="9"/>
      <c r="Z45" s="8"/>
      <c r="AA45" s="8"/>
      <c r="AB45" s="8"/>
      <c r="AC45" s="8"/>
      <c r="AD45" s="8"/>
      <c r="AE45" s="8"/>
      <c r="AF45" s="9"/>
      <c r="AG45" s="9"/>
      <c r="AH45" s="11" t="str">
        <f t="shared" si="9"/>
        <v/>
      </c>
      <c r="AI45" s="11" t="str">
        <f t="shared" si="10"/>
        <v/>
      </c>
      <c r="AJ45" s="11" t="str">
        <f t="shared" si="11"/>
        <v/>
      </c>
      <c r="AK45" s="11" t="str">
        <f t="shared" si="12"/>
        <v/>
      </c>
      <c r="AL45" s="11" t="str">
        <f t="shared" si="13"/>
        <v/>
      </c>
      <c r="AM45" s="11" t="str">
        <f>IF(A45="","",IF(AC45="","",IF(COUNTIF('05 - DEPENDENCIES'!$A$9:$A$58,AC45)=0,"Unknown ID",IF(COUNTIF('05 - DEPENDENCIES'!$A$9:$A$58,AC45)&gt;1,"Duplicate ID",INDEX('05 - DEPENDENCIES'!$AI$9:$AI$58,MATCH(AC45,'05 - DEPENDENCIES'!$A$9:$A$58,0))))))</f>
        <v/>
      </c>
    </row>
    <row r="46" spans="1:39" ht="60" customHeight="1">
      <c r="A46" s="8"/>
      <c r="B46" s="8"/>
      <c r="C46" s="8"/>
      <c r="D46" s="8"/>
      <c r="E46" s="9"/>
      <c r="F46" s="11" t="str">
        <f t="shared" si="7"/>
        <v/>
      </c>
      <c r="G46" s="20" t="str">
        <f>IF(A46="","",IF(COUNTIF('04 - DECISION LOG'!$A$9:$A$58,A46)&gt;1,"DUPLICATE ID ","")&amp;IF(ReviewDate="","SET REVIEW DATE ","")&amp;IF(C46="","STATUS MISSING ","")&amp;IF(E46="","DEADLINE MISSING ","")&amp;IF(D46="","OWNER MISSING ","")&amp;IF(AND(OR(C46="Open",C46="Deferred"),M46=""),"ACTIONABLE DATE MISSING ","")&amp;IF(AND(OR(C46="Open",C46="Deferred"),ISNUMBER(AH46),AH46&gt;=WarnDays),"THRESHOLD EXCEEDED ","")&amp;IF(AND(OR(C46="Open",C46="Deferred"),ISNUMBER(AH46),AH46&gt;=EscDays),"ESCALATION REQUIRED ","")&amp;IF(AND(OR(C46="Open",C46="Deferred"),ISNUMBER(AJ46),AJ46&gt;=0,AJ46&lt;=Upcoming),"APPROACHING DEADLINE ","")&amp;IF(AND(OR(C46="Open",C46="Deferred"),AK46&gt;0),"DECISION OVERDUE ","")&amp;IF(AND(C46="Deferred",V46=""),"DEFERRAL WITHOUT REVIEW DATE ","")&amp;IF(AND(C46="Decided",AG46="",OR(AF46="",AF46&lt;ReviewDate)),"DECISION NOT IMPLEMENTED ","")&amp;IF(AND(NOT(OR(C46="Open",C46="Deferred")),Y46=""),"CLOSURE DATE MISSING ","")&amp;IF(AND(ISNUMBER(Y46),Y46&lt;M46),"INVALID DATE ORDER ",""))&amp;IF(AND(A46&lt;&gt;"",AM46&lt;&gt;"",AM46&lt;&gt;"Consumer accepted",AM46&lt;&gt;"Authorised removal"),"LINKED DEPENDENCY UNRESOLVED ","")</f>
        <v/>
      </c>
      <c r="H46" s="11" t="str">
        <f t="shared" si="8"/>
        <v/>
      </c>
      <c r="I46" s="8"/>
      <c r="J46" s="8"/>
      <c r="K46" s="8"/>
      <c r="L46" s="9"/>
      <c r="M46" s="9"/>
      <c r="N46" s="8"/>
      <c r="O46" s="8"/>
      <c r="P46" s="8"/>
      <c r="Q46" s="8"/>
      <c r="R46" s="8"/>
      <c r="S46" s="8"/>
      <c r="T46" s="8"/>
      <c r="U46" s="8"/>
      <c r="V46" s="9"/>
      <c r="W46" s="8"/>
      <c r="X46" s="8"/>
      <c r="Y46" s="9"/>
      <c r="Z46" s="8"/>
      <c r="AA46" s="8"/>
      <c r="AB46" s="8"/>
      <c r="AC46" s="8"/>
      <c r="AD46" s="8"/>
      <c r="AE46" s="8"/>
      <c r="AF46" s="9"/>
      <c r="AG46" s="9"/>
      <c r="AH46" s="11" t="str">
        <f t="shared" si="9"/>
        <v/>
      </c>
      <c r="AI46" s="11" t="str">
        <f t="shared" si="10"/>
        <v/>
      </c>
      <c r="AJ46" s="11" t="str">
        <f t="shared" si="11"/>
        <v/>
      </c>
      <c r="AK46" s="11" t="str">
        <f t="shared" si="12"/>
        <v/>
      </c>
      <c r="AL46" s="11" t="str">
        <f t="shared" si="13"/>
        <v/>
      </c>
      <c r="AM46" s="11" t="str">
        <f>IF(A46="","",IF(AC46="","",IF(COUNTIF('05 - DEPENDENCIES'!$A$9:$A$58,AC46)=0,"Unknown ID",IF(COUNTIF('05 - DEPENDENCIES'!$A$9:$A$58,AC46)&gt;1,"Duplicate ID",INDEX('05 - DEPENDENCIES'!$AI$9:$AI$58,MATCH(AC46,'05 - DEPENDENCIES'!$A$9:$A$58,0))))))</f>
        <v/>
      </c>
    </row>
    <row r="47" spans="1:39" ht="60" customHeight="1">
      <c r="A47" s="8"/>
      <c r="B47" s="8"/>
      <c r="C47" s="8"/>
      <c r="D47" s="8"/>
      <c r="E47" s="9"/>
      <c r="F47" s="11" t="str">
        <f t="shared" si="7"/>
        <v/>
      </c>
      <c r="G47" s="20" t="str">
        <f>IF(A47="","",IF(COUNTIF('04 - DECISION LOG'!$A$9:$A$58,A47)&gt;1,"DUPLICATE ID ","")&amp;IF(ReviewDate="","SET REVIEW DATE ","")&amp;IF(C47="","STATUS MISSING ","")&amp;IF(E47="","DEADLINE MISSING ","")&amp;IF(D47="","OWNER MISSING ","")&amp;IF(AND(OR(C47="Open",C47="Deferred"),M47=""),"ACTIONABLE DATE MISSING ","")&amp;IF(AND(OR(C47="Open",C47="Deferred"),ISNUMBER(AH47),AH47&gt;=WarnDays),"THRESHOLD EXCEEDED ","")&amp;IF(AND(OR(C47="Open",C47="Deferred"),ISNUMBER(AH47),AH47&gt;=EscDays),"ESCALATION REQUIRED ","")&amp;IF(AND(OR(C47="Open",C47="Deferred"),ISNUMBER(AJ47),AJ47&gt;=0,AJ47&lt;=Upcoming),"APPROACHING DEADLINE ","")&amp;IF(AND(OR(C47="Open",C47="Deferred"),AK47&gt;0),"DECISION OVERDUE ","")&amp;IF(AND(C47="Deferred",V47=""),"DEFERRAL WITHOUT REVIEW DATE ","")&amp;IF(AND(C47="Decided",AG47="",OR(AF47="",AF47&lt;ReviewDate)),"DECISION NOT IMPLEMENTED ","")&amp;IF(AND(NOT(OR(C47="Open",C47="Deferred")),Y47=""),"CLOSURE DATE MISSING ","")&amp;IF(AND(ISNUMBER(Y47),Y47&lt;M47),"INVALID DATE ORDER ",""))&amp;IF(AND(A47&lt;&gt;"",AM47&lt;&gt;"",AM47&lt;&gt;"Consumer accepted",AM47&lt;&gt;"Authorised removal"),"LINKED DEPENDENCY UNRESOLVED ","")</f>
        <v/>
      </c>
      <c r="H47" s="11" t="str">
        <f t="shared" si="8"/>
        <v/>
      </c>
      <c r="I47" s="8"/>
      <c r="J47" s="8"/>
      <c r="K47" s="8"/>
      <c r="L47" s="9"/>
      <c r="M47" s="9"/>
      <c r="N47" s="8"/>
      <c r="O47" s="8"/>
      <c r="P47" s="8"/>
      <c r="Q47" s="8"/>
      <c r="R47" s="8"/>
      <c r="S47" s="8"/>
      <c r="T47" s="8"/>
      <c r="U47" s="8"/>
      <c r="V47" s="9"/>
      <c r="W47" s="8"/>
      <c r="X47" s="8"/>
      <c r="Y47" s="9"/>
      <c r="Z47" s="8"/>
      <c r="AA47" s="8"/>
      <c r="AB47" s="8"/>
      <c r="AC47" s="8"/>
      <c r="AD47" s="8"/>
      <c r="AE47" s="8"/>
      <c r="AF47" s="9"/>
      <c r="AG47" s="9"/>
      <c r="AH47" s="11" t="str">
        <f t="shared" si="9"/>
        <v/>
      </c>
      <c r="AI47" s="11" t="str">
        <f t="shared" si="10"/>
        <v/>
      </c>
      <c r="AJ47" s="11" t="str">
        <f t="shared" si="11"/>
        <v/>
      </c>
      <c r="AK47" s="11" t="str">
        <f t="shared" si="12"/>
        <v/>
      </c>
      <c r="AL47" s="11" t="str">
        <f t="shared" si="13"/>
        <v/>
      </c>
      <c r="AM47" s="11" t="str">
        <f>IF(A47="","",IF(AC47="","",IF(COUNTIF('05 - DEPENDENCIES'!$A$9:$A$58,AC47)=0,"Unknown ID",IF(COUNTIF('05 - DEPENDENCIES'!$A$9:$A$58,AC47)&gt;1,"Duplicate ID",INDEX('05 - DEPENDENCIES'!$AI$9:$AI$58,MATCH(AC47,'05 - DEPENDENCIES'!$A$9:$A$58,0))))))</f>
        <v/>
      </c>
    </row>
    <row r="48" spans="1:39" ht="60" customHeight="1">
      <c r="A48" s="8"/>
      <c r="B48" s="8"/>
      <c r="C48" s="8"/>
      <c r="D48" s="8"/>
      <c r="E48" s="9"/>
      <c r="F48" s="11" t="str">
        <f t="shared" si="7"/>
        <v/>
      </c>
      <c r="G48" s="20" t="str">
        <f>IF(A48="","",IF(COUNTIF('04 - DECISION LOG'!$A$9:$A$58,A48)&gt;1,"DUPLICATE ID ","")&amp;IF(ReviewDate="","SET REVIEW DATE ","")&amp;IF(C48="","STATUS MISSING ","")&amp;IF(E48="","DEADLINE MISSING ","")&amp;IF(D48="","OWNER MISSING ","")&amp;IF(AND(OR(C48="Open",C48="Deferred"),M48=""),"ACTIONABLE DATE MISSING ","")&amp;IF(AND(OR(C48="Open",C48="Deferred"),ISNUMBER(AH48),AH48&gt;=WarnDays),"THRESHOLD EXCEEDED ","")&amp;IF(AND(OR(C48="Open",C48="Deferred"),ISNUMBER(AH48),AH48&gt;=EscDays),"ESCALATION REQUIRED ","")&amp;IF(AND(OR(C48="Open",C48="Deferred"),ISNUMBER(AJ48),AJ48&gt;=0,AJ48&lt;=Upcoming),"APPROACHING DEADLINE ","")&amp;IF(AND(OR(C48="Open",C48="Deferred"),AK48&gt;0),"DECISION OVERDUE ","")&amp;IF(AND(C48="Deferred",V48=""),"DEFERRAL WITHOUT REVIEW DATE ","")&amp;IF(AND(C48="Decided",AG48="",OR(AF48="",AF48&lt;ReviewDate)),"DECISION NOT IMPLEMENTED ","")&amp;IF(AND(NOT(OR(C48="Open",C48="Deferred")),Y48=""),"CLOSURE DATE MISSING ","")&amp;IF(AND(ISNUMBER(Y48),Y48&lt;M48),"INVALID DATE ORDER ",""))&amp;IF(AND(A48&lt;&gt;"",AM48&lt;&gt;"",AM48&lt;&gt;"Consumer accepted",AM48&lt;&gt;"Authorised removal"),"LINKED DEPENDENCY UNRESOLVED ","")</f>
        <v/>
      </c>
      <c r="H48" s="11" t="str">
        <f t="shared" si="8"/>
        <v/>
      </c>
      <c r="I48" s="8"/>
      <c r="J48" s="8"/>
      <c r="K48" s="8"/>
      <c r="L48" s="9"/>
      <c r="M48" s="9"/>
      <c r="N48" s="8"/>
      <c r="O48" s="8"/>
      <c r="P48" s="8"/>
      <c r="Q48" s="8"/>
      <c r="R48" s="8"/>
      <c r="S48" s="8"/>
      <c r="T48" s="8"/>
      <c r="U48" s="8"/>
      <c r="V48" s="9"/>
      <c r="W48" s="8"/>
      <c r="X48" s="8"/>
      <c r="Y48" s="9"/>
      <c r="Z48" s="8"/>
      <c r="AA48" s="8"/>
      <c r="AB48" s="8"/>
      <c r="AC48" s="8"/>
      <c r="AD48" s="8"/>
      <c r="AE48" s="8"/>
      <c r="AF48" s="9"/>
      <c r="AG48" s="9"/>
      <c r="AH48" s="11" t="str">
        <f t="shared" si="9"/>
        <v/>
      </c>
      <c r="AI48" s="11" t="str">
        <f t="shared" si="10"/>
        <v/>
      </c>
      <c r="AJ48" s="11" t="str">
        <f t="shared" si="11"/>
        <v/>
      </c>
      <c r="AK48" s="11" t="str">
        <f t="shared" si="12"/>
        <v/>
      </c>
      <c r="AL48" s="11" t="str">
        <f t="shared" si="13"/>
        <v/>
      </c>
      <c r="AM48" s="11" t="str">
        <f>IF(A48="","",IF(AC48="","",IF(COUNTIF('05 - DEPENDENCIES'!$A$9:$A$58,AC48)=0,"Unknown ID",IF(COUNTIF('05 - DEPENDENCIES'!$A$9:$A$58,AC48)&gt;1,"Duplicate ID",INDEX('05 - DEPENDENCIES'!$AI$9:$AI$58,MATCH(AC48,'05 - DEPENDENCIES'!$A$9:$A$58,0))))))</f>
        <v/>
      </c>
    </row>
    <row r="49" spans="1:39" ht="60" customHeight="1">
      <c r="A49" s="8"/>
      <c r="B49" s="8"/>
      <c r="C49" s="8"/>
      <c r="D49" s="8"/>
      <c r="E49" s="9"/>
      <c r="F49" s="11" t="str">
        <f t="shared" si="7"/>
        <v/>
      </c>
      <c r="G49" s="20" t="str">
        <f>IF(A49="","",IF(COUNTIF('04 - DECISION LOG'!$A$9:$A$58,A49)&gt;1,"DUPLICATE ID ","")&amp;IF(ReviewDate="","SET REVIEW DATE ","")&amp;IF(C49="","STATUS MISSING ","")&amp;IF(E49="","DEADLINE MISSING ","")&amp;IF(D49="","OWNER MISSING ","")&amp;IF(AND(OR(C49="Open",C49="Deferred"),M49=""),"ACTIONABLE DATE MISSING ","")&amp;IF(AND(OR(C49="Open",C49="Deferred"),ISNUMBER(AH49),AH49&gt;=WarnDays),"THRESHOLD EXCEEDED ","")&amp;IF(AND(OR(C49="Open",C49="Deferred"),ISNUMBER(AH49),AH49&gt;=EscDays),"ESCALATION REQUIRED ","")&amp;IF(AND(OR(C49="Open",C49="Deferred"),ISNUMBER(AJ49),AJ49&gt;=0,AJ49&lt;=Upcoming),"APPROACHING DEADLINE ","")&amp;IF(AND(OR(C49="Open",C49="Deferred"),AK49&gt;0),"DECISION OVERDUE ","")&amp;IF(AND(C49="Deferred",V49=""),"DEFERRAL WITHOUT REVIEW DATE ","")&amp;IF(AND(C49="Decided",AG49="",OR(AF49="",AF49&lt;ReviewDate)),"DECISION NOT IMPLEMENTED ","")&amp;IF(AND(NOT(OR(C49="Open",C49="Deferred")),Y49=""),"CLOSURE DATE MISSING ","")&amp;IF(AND(ISNUMBER(Y49),Y49&lt;M49),"INVALID DATE ORDER ",""))&amp;IF(AND(A49&lt;&gt;"",AM49&lt;&gt;"",AM49&lt;&gt;"Consumer accepted",AM49&lt;&gt;"Authorised removal"),"LINKED DEPENDENCY UNRESOLVED ","")</f>
        <v/>
      </c>
      <c r="H49" s="11" t="str">
        <f t="shared" si="8"/>
        <v/>
      </c>
      <c r="I49" s="8"/>
      <c r="J49" s="8"/>
      <c r="K49" s="8"/>
      <c r="L49" s="9"/>
      <c r="M49" s="9"/>
      <c r="N49" s="8"/>
      <c r="O49" s="8"/>
      <c r="P49" s="8"/>
      <c r="Q49" s="8"/>
      <c r="R49" s="8"/>
      <c r="S49" s="8"/>
      <c r="T49" s="8"/>
      <c r="U49" s="8"/>
      <c r="V49" s="9"/>
      <c r="W49" s="8"/>
      <c r="X49" s="8"/>
      <c r="Y49" s="9"/>
      <c r="Z49" s="8"/>
      <c r="AA49" s="8"/>
      <c r="AB49" s="8"/>
      <c r="AC49" s="8"/>
      <c r="AD49" s="8"/>
      <c r="AE49" s="8"/>
      <c r="AF49" s="9"/>
      <c r="AG49" s="9"/>
      <c r="AH49" s="11" t="str">
        <f t="shared" si="9"/>
        <v/>
      </c>
      <c r="AI49" s="11" t="str">
        <f t="shared" si="10"/>
        <v/>
      </c>
      <c r="AJ49" s="11" t="str">
        <f t="shared" si="11"/>
        <v/>
      </c>
      <c r="AK49" s="11" t="str">
        <f t="shared" si="12"/>
        <v/>
      </c>
      <c r="AL49" s="11" t="str">
        <f t="shared" si="13"/>
        <v/>
      </c>
      <c r="AM49" s="11" t="str">
        <f>IF(A49="","",IF(AC49="","",IF(COUNTIF('05 - DEPENDENCIES'!$A$9:$A$58,AC49)=0,"Unknown ID",IF(COUNTIF('05 - DEPENDENCIES'!$A$9:$A$58,AC49)&gt;1,"Duplicate ID",INDEX('05 - DEPENDENCIES'!$AI$9:$AI$58,MATCH(AC49,'05 - DEPENDENCIES'!$A$9:$A$58,0))))))</f>
        <v/>
      </c>
    </row>
    <row r="50" spans="1:39" ht="60" customHeight="1">
      <c r="A50" s="8"/>
      <c r="B50" s="8"/>
      <c r="C50" s="8"/>
      <c r="D50" s="8"/>
      <c r="E50" s="9"/>
      <c r="F50" s="11" t="str">
        <f t="shared" si="7"/>
        <v/>
      </c>
      <c r="G50" s="20" t="str">
        <f>IF(A50="","",IF(COUNTIF('04 - DECISION LOG'!$A$9:$A$58,A50)&gt;1,"DUPLICATE ID ","")&amp;IF(ReviewDate="","SET REVIEW DATE ","")&amp;IF(C50="","STATUS MISSING ","")&amp;IF(E50="","DEADLINE MISSING ","")&amp;IF(D50="","OWNER MISSING ","")&amp;IF(AND(OR(C50="Open",C50="Deferred"),M50=""),"ACTIONABLE DATE MISSING ","")&amp;IF(AND(OR(C50="Open",C50="Deferred"),ISNUMBER(AH50),AH50&gt;=WarnDays),"THRESHOLD EXCEEDED ","")&amp;IF(AND(OR(C50="Open",C50="Deferred"),ISNUMBER(AH50),AH50&gt;=EscDays),"ESCALATION REQUIRED ","")&amp;IF(AND(OR(C50="Open",C50="Deferred"),ISNUMBER(AJ50),AJ50&gt;=0,AJ50&lt;=Upcoming),"APPROACHING DEADLINE ","")&amp;IF(AND(OR(C50="Open",C50="Deferred"),AK50&gt;0),"DECISION OVERDUE ","")&amp;IF(AND(C50="Deferred",V50=""),"DEFERRAL WITHOUT REVIEW DATE ","")&amp;IF(AND(C50="Decided",AG50="",OR(AF50="",AF50&lt;ReviewDate)),"DECISION NOT IMPLEMENTED ","")&amp;IF(AND(NOT(OR(C50="Open",C50="Deferred")),Y50=""),"CLOSURE DATE MISSING ","")&amp;IF(AND(ISNUMBER(Y50),Y50&lt;M50),"INVALID DATE ORDER ",""))&amp;IF(AND(A50&lt;&gt;"",AM50&lt;&gt;"",AM50&lt;&gt;"Consumer accepted",AM50&lt;&gt;"Authorised removal"),"LINKED DEPENDENCY UNRESOLVED ","")</f>
        <v/>
      </c>
      <c r="H50" s="11" t="str">
        <f t="shared" si="8"/>
        <v/>
      </c>
      <c r="I50" s="8"/>
      <c r="J50" s="8"/>
      <c r="K50" s="8"/>
      <c r="L50" s="9"/>
      <c r="M50" s="9"/>
      <c r="N50" s="8"/>
      <c r="O50" s="8"/>
      <c r="P50" s="8"/>
      <c r="Q50" s="8"/>
      <c r="R50" s="8"/>
      <c r="S50" s="8"/>
      <c r="T50" s="8"/>
      <c r="U50" s="8"/>
      <c r="V50" s="9"/>
      <c r="W50" s="8"/>
      <c r="X50" s="8"/>
      <c r="Y50" s="9"/>
      <c r="Z50" s="8"/>
      <c r="AA50" s="8"/>
      <c r="AB50" s="8"/>
      <c r="AC50" s="8"/>
      <c r="AD50" s="8"/>
      <c r="AE50" s="8"/>
      <c r="AF50" s="9"/>
      <c r="AG50" s="9"/>
      <c r="AH50" s="11" t="str">
        <f t="shared" si="9"/>
        <v/>
      </c>
      <c r="AI50" s="11" t="str">
        <f t="shared" si="10"/>
        <v/>
      </c>
      <c r="AJ50" s="11" t="str">
        <f t="shared" si="11"/>
        <v/>
      </c>
      <c r="AK50" s="11" t="str">
        <f t="shared" si="12"/>
        <v/>
      </c>
      <c r="AL50" s="11" t="str">
        <f t="shared" si="13"/>
        <v/>
      </c>
      <c r="AM50" s="11" t="str">
        <f>IF(A50="","",IF(AC50="","",IF(COUNTIF('05 - DEPENDENCIES'!$A$9:$A$58,AC50)=0,"Unknown ID",IF(COUNTIF('05 - DEPENDENCIES'!$A$9:$A$58,AC50)&gt;1,"Duplicate ID",INDEX('05 - DEPENDENCIES'!$AI$9:$AI$58,MATCH(AC50,'05 - DEPENDENCIES'!$A$9:$A$58,0))))))</f>
        <v/>
      </c>
    </row>
    <row r="51" spans="1:39" ht="60" customHeight="1">
      <c r="A51" s="8"/>
      <c r="B51" s="8"/>
      <c r="C51" s="8"/>
      <c r="D51" s="8"/>
      <c r="E51" s="9"/>
      <c r="F51" s="11" t="str">
        <f t="shared" si="7"/>
        <v/>
      </c>
      <c r="G51" s="20" t="str">
        <f>IF(A51="","",IF(COUNTIF('04 - DECISION LOG'!$A$9:$A$58,A51)&gt;1,"DUPLICATE ID ","")&amp;IF(ReviewDate="","SET REVIEW DATE ","")&amp;IF(C51="","STATUS MISSING ","")&amp;IF(E51="","DEADLINE MISSING ","")&amp;IF(D51="","OWNER MISSING ","")&amp;IF(AND(OR(C51="Open",C51="Deferred"),M51=""),"ACTIONABLE DATE MISSING ","")&amp;IF(AND(OR(C51="Open",C51="Deferred"),ISNUMBER(AH51),AH51&gt;=WarnDays),"THRESHOLD EXCEEDED ","")&amp;IF(AND(OR(C51="Open",C51="Deferred"),ISNUMBER(AH51),AH51&gt;=EscDays),"ESCALATION REQUIRED ","")&amp;IF(AND(OR(C51="Open",C51="Deferred"),ISNUMBER(AJ51),AJ51&gt;=0,AJ51&lt;=Upcoming),"APPROACHING DEADLINE ","")&amp;IF(AND(OR(C51="Open",C51="Deferred"),AK51&gt;0),"DECISION OVERDUE ","")&amp;IF(AND(C51="Deferred",V51=""),"DEFERRAL WITHOUT REVIEW DATE ","")&amp;IF(AND(C51="Decided",AG51="",OR(AF51="",AF51&lt;ReviewDate)),"DECISION NOT IMPLEMENTED ","")&amp;IF(AND(NOT(OR(C51="Open",C51="Deferred")),Y51=""),"CLOSURE DATE MISSING ","")&amp;IF(AND(ISNUMBER(Y51),Y51&lt;M51),"INVALID DATE ORDER ",""))&amp;IF(AND(A51&lt;&gt;"",AM51&lt;&gt;"",AM51&lt;&gt;"Consumer accepted",AM51&lt;&gt;"Authorised removal"),"LINKED DEPENDENCY UNRESOLVED ","")</f>
        <v/>
      </c>
      <c r="H51" s="11" t="str">
        <f t="shared" si="8"/>
        <v/>
      </c>
      <c r="I51" s="8"/>
      <c r="J51" s="8"/>
      <c r="K51" s="8"/>
      <c r="L51" s="9"/>
      <c r="M51" s="9"/>
      <c r="N51" s="8"/>
      <c r="O51" s="8"/>
      <c r="P51" s="8"/>
      <c r="Q51" s="8"/>
      <c r="R51" s="8"/>
      <c r="S51" s="8"/>
      <c r="T51" s="8"/>
      <c r="U51" s="8"/>
      <c r="V51" s="9"/>
      <c r="W51" s="8"/>
      <c r="X51" s="8"/>
      <c r="Y51" s="9"/>
      <c r="Z51" s="8"/>
      <c r="AA51" s="8"/>
      <c r="AB51" s="8"/>
      <c r="AC51" s="8"/>
      <c r="AD51" s="8"/>
      <c r="AE51" s="8"/>
      <c r="AF51" s="9"/>
      <c r="AG51" s="9"/>
      <c r="AH51" s="11" t="str">
        <f t="shared" si="9"/>
        <v/>
      </c>
      <c r="AI51" s="11" t="str">
        <f t="shared" si="10"/>
        <v/>
      </c>
      <c r="AJ51" s="11" t="str">
        <f t="shared" si="11"/>
        <v/>
      </c>
      <c r="AK51" s="11" t="str">
        <f t="shared" si="12"/>
        <v/>
      </c>
      <c r="AL51" s="11" t="str">
        <f t="shared" si="13"/>
        <v/>
      </c>
      <c r="AM51" s="11" t="str">
        <f>IF(A51="","",IF(AC51="","",IF(COUNTIF('05 - DEPENDENCIES'!$A$9:$A$58,AC51)=0,"Unknown ID",IF(COUNTIF('05 - DEPENDENCIES'!$A$9:$A$58,AC51)&gt;1,"Duplicate ID",INDEX('05 - DEPENDENCIES'!$AI$9:$AI$58,MATCH(AC51,'05 - DEPENDENCIES'!$A$9:$A$58,0))))))</f>
        <v/>
      </c>
    </row>
    <row r="52" spans="1:39" ht="60" customHeight="1">
      <c r="A52" s="8"/>
      <c r="B52" s="8"/>
      <c r="C52" s="8"/>
      <c r="D52" s="8"/>
      <c r="E52" s="9"/>
      <c r="F52" s="11" t="str">
        <f t="shared" si="7"/>
        <v/>
      </c>
      <c r="G52" s="20" t="str">
        <f>IF(A52="","",IF(COUNTIF('04 - DECISION LOG'!$A$9:$A$58,A52)&gt;1,"DUPLICATE ID ","")&amp;IF(ReviewDate="","SET REVIEW DATE ","")&amp;IF(C52="","STATUS MISSING ","")&amp;IF(E52="","DEADLINE MISSING ","")&amp;IF(D52="","OWNER MISSING ","")&amp;IF(AND(OR(C52="Open",C52="Deferred"),M52=""),"ACTIONABLE DATE MISSING ","")&amp;IF(AND(OR(C52="Open",C52="Deferred"),ISNUMBER(AH52),AH52&gt;=WarnDays),"THRESHOLD EXCEEDED ","")&amp;IF(AND(OR(C52="Open",C52="Deferred"),ISNUMBER(AH52),AH52&gt;=EscDays),"ESCALATION REQUIRED ","")&amp;IF(AND(OR(C52="Open",C52="Deferred"),ISNUMBER(AJ52),AJ52&gt;=0,AJ52&lt;=Upcoming),"APPROACHING DEADLINE ","")&amp;IF(AND(OR(C52="Open",C52="Deferred"),AK52&gt;0),"DECISION OVERDUE ","")&amp;IF(AND(C52="Deferred",V52=""),"DEFERRAL WITHOUT REVIEW DATE ","")&amp;IF(AND(C52="Decided",AG52="",OR(AF52="",AF52&lt;ReviewDate)),"DECISION NOT IMPLEMENTED ","")&amp;IF(AND(NOT(OR(C52="Open",C52="Deferred")),Y52=""),"CLOSURE DATE MISSING ","")&amp;IF(AND(ISNUMBER(Y52),Y52&lt;M52),"INVALID DATE ORDER ",""))&amp;IF(AND(A52&lt;&gt;"",AM52&lt;&gt;"",AM52&lt;&gt;"Consumer accepted",AM52&lt;&gt;"Authorised removal"),"LINKED DEPENDENCY UNRESOLVED ","")</f>
        <v/>
      </c>
      <c r="H52" s="11" t="str">
        <f t="shared" si="8"/>
        <v/>
      </c>
      <c r="I52" s="8"/>
      <c r="J52" s="8"/>
      <c r="K52" s="8"/>
      <c r="L52" s="9"/>
      <c r="M52" s="9"/>
      <c r="N52" s="8"/>
      <c r="O52" s="8"/>
      <c r="P52" s="8"/>
      <c r="Q52" s="8"/>
      <c r="R52" s="8"/>
      <c r="S52" s="8"/>
      <c r="T52" s="8"/>
      <c r="U52" s="8"/>
      <c r="V52" s="9"/>
      <c r="W52" s="8"/>
      <c r="X52" s="8"/>
      <c r="Y52" s="9"/>
      <c r="Z52" s="8"/>
      <c r="AA52" s="8"/>
      <c r="AB52" s="8"/>
      <c r="AC52" s="8"/>
      <c r="AD52" s="8"/>
      <c r="AE52" s="8"/>
      <c r="AF52" s="9"/>
      <c r="AG52" s="9"/>
      <c r="AH52" s="11" t="str">
        <f t="shared" si="9"/>
        <v/>
      </c>
      <c r="AI52" s="11" t="str">
        <f t="shared" si="10"/>
        <v/>
      </c>
      <c r="AJ52" s="11" t="str">
        <f t="shared" si="11"/>
        <v/>
      </c>
      <c r="AK52" s="11" t="str">
        <f t="shared" si="12"/>
        <v/>
      </c>
      <c r="AL52" s="11" t="str">
        <f t="shared" si="13"/>
        <v/>
      </c>
      <c r="AM52" s="11" t="str">
        <f>IF(A52="","",IF(AC52="","",IF(COUNTIF('05 - DEPENDENCIES'!$A$9:$A$58,AC52)=0,"Unknown ID",IF(COUNTIF('05 - DEPENDENCIES'!$A$9:$A$58,AC52)&gt;1,"Duplicate ID",INDEX('05 - DEPENDENCIES'!$AI$9:$AI$58,MATCH(AC52,'05 - DEPENDENCIES'!$A$9:$A$58,0))))))</f>
        <v/>
      </c>
    </row>
    <row r="53" spans="1:39" ht="60" customHeight="1">
      <c r="A53" s="8"/>
      <c r="B53" s="8"/>
      <c r="C53" s="8"/>
      <c r="D53" s="8"/>
      <c r="E53" s="9"/>
      <c r="F53" s="11" t="str">
        <f t="shared" si="7"/>
        <v/>
      </c>
      <c r="G53" s="20" t="str">
        <f>IF(A53="","",IF(COUNTIF('04 - DECISION LOG'!$A$9:$A$58,A53)&gt;1,"DUPLICATE ID ","")&amp;IF(ReviewDate="","SET REVIEW DATE ","")&amp;IF(C53="","STATUS MISSING ","")&amp;IF(E53="","DEADLINE MISSING ","")&amp;IF(D53="","OWNER MISSING ","")&amp;IF(AND(OR(C53="Open",C53="Deferred"),M53=""),"ACTIONABLE DATE MISSING ","")&amp;IF(AND(OR(C53="Open",C53="Deferred"),ISNUMBER(AH53),AH53&gt;=WarnDays),"THRESHOLD EXCEEDED ","")&amp;IF(AND(OR(C53="Open",C53="Deferred"),ISNUMBER(AH53),AH53&gt;=EscDays),"ESCALATION REQUIRED ","")&amp;IF(AND(OR(C53="Open",C53="Deferred"),ISNUMBER(AJ53),AJ53&gt;=0,AJ53&lt;=Upcoming),"APPROACHING DEADLINE ","")&amp;IF(AND(OR(C53="Open",C53="Deferred"),AK53&gt;0),"DECISION OVERDUE ","")&amp;IF(AND(C53="Deferred",V53=""),"DEFERRAL WITHOUT REVIEW DATE ","")&amp;IF(AND(C53="Decided",AG53="",OR(AF53="",AF53&lt;ReviewDate)),"DECISION NOT IMPLEMENTED ","")&amp;IF(AND(NOT(OR(C53="Open",C53="Deferred")),Y53=""),"CLOSURE DATE MISSING ","")&amp;IF(AND(ISNUMBER(Y53),Y53&lt;M53),"INVALID DATE ORDER ",""))&amp;IF(AND(A53&lt;&gt;"",AM53&lt;&gt;"",AM53&lt;&gt;"Consumer accepted",AM53&lt;&gt;"Authorised removal"),"LINKED DEPENDENCY UNRESOLVED ","")</f>
        <v/>
      </c>
      <c r="H53" s="11" t="str">
        <f t="shared" si="8"/>
        <v/>
      </c>
      <c r="I53" s="8"/>
      <c r="J53" s="8"/>
      <c r="K53" s="8"/>
      <c r="L53" s="9"/>
      <c r="M53" s="9"/>
      <c r="N53" s="8"/>
      <c r="O53" s="8"/>
      <c r="P53" s="8"/>
      <c r="Q53" s="8"/>
      <c r="R53" s="8"/>
      <c r="S53" s="8"/>
      <c r="T53" s="8"/>
      <c r="U53" s="8"/>
      <c r="V53" s="9"/>
      <c r="W53" s="8"/>
      <c r="X53" s="8"/>
      <c r="Y53" s="9"/>
      <c r="Z53" s="8"/>
      <c r="AA53" s="8"/>
      <c r="AB53" s="8"/>
      <c r="AC53" s="8"/>
      <c r="AD53" s="8"/>
      <c r="AE53" s="8"/>
      <c r="AF53" s="9"/>
      <c r="AG53" s="9"/>
      <c r="AH53" s="11" t="str">
        <f t="shared" si="9"/>
        <v/>
      </c>
      <c r="AI53" s="11" t="str">
        <f t="shared" si="10"/>
        <v/>
      </c>
      <c r="AJ53" s="11" t="str">
        <f t="shared" si="11"/>
        <v/>
      </c>
      <c r="AK53" s="11" t="str">
        <f t="shared" si="12"/>
        <v/>
      </c>
      <c r="AL53" s="11" t="str">
        <f t="shared" si="13"/>
        <v/>
      </c>
      <c r="AM53" s="11" t="str">
        <f>IF(A53="","",IF(AC53="","",IF(COUNTIF('05 - DEPENDENCIES'!$A$9:$A$58,AC53)=0,"Unknown ID",IF(COUNTIF('05 - DEPENDENCIES'!$A$9:$A$58,AC53)&gt;1,"Duplicate ID",INDEX('05 - DEPENDENCIES'!$AI$9:$AI$58,MATCH(AC53,'05 - DEPENDENCIES'!$A$9:$A$58,0))))))</f>
        <v/>
      </c>
    </row>
    <row r="54" spans="1:39" ht="60" customHeight="1">
      <c r="A54" s="8"/>
      <c r="B54" s="8"/>
      <c r="C54" s="8"/>
      <c r="D54" s="8"/>
      <c r="E54" s="9"/>
      <c r="F54" s="11" t="str">
        <f t="shared" si="7"/>
        <v/>
      </c>
      <c r="G54" s="20" t="str">
        <f>IF(A54="","",IF(COUNTIF('04 - DECISION LOG'!$A$9:$A$58,A54)&gt;1,"DUPLICATE ID ","")&amp;IF(ReviewDate="","SET REVIEW DATE ","")&amp;IF(C54="","STATUS MISSING ","")&amp;IF(E54="","DEADLINE MISSING ","")&amp;IF(D54="","OWNER MISSING ","")&amp;IF(AND(OR(C54="Open",C54="Deferred"),M54=""),"ACTIONABLE DATE MISSING ","")&amp;IF(AND(OR(C54="Open",C54="Deferred"),ISNUMBER(AH54),AH54&gt;=WarnDays),"THRESHOLD EXCEEDED ","")&amp;IF(AND(OR(C54="Open",C54="Deferred"),ISNUMBER(AH54),AH54&gt;=EscDays),"ESCALATION REQUIRED ","")&amp;IF(AND(OR(C54="Open",C54="Deferred"),ISNUMBER(AJ54),AJ54&gt;=0,AJ54&lt;=Upcoming),"APPROACHING DEADLINE ","")&amp;IF(AND(OR(C54="Open",C54="Deferred"),AK54&gt;0),"DECISION OVERDUE ","")&amp;IF(AND(C54="Deferred",V54=""),"DEFERRAL WITHOUT REVIEW DATE ","")&amp;IF(AND(C54="Decided",AG54="",OR(AF54="",AF54&lt;ReviewDate)),"DECISION NOT IMPLEMENTED ","")&amp;IF(AND(NOT(OR(C54="Open",C54="Deferred")),Y54=""),"CLOSURE DATE MISSING ","")&amp;IF(AND(ISNUMBER(Y54),Y54&lt;M54),"INVALID DATE ORDER ",""))&amp;IF(AND(A54&lt;&gt;"",AM54&lt;&gt;"",AM54&lt;&gt;"Consumer accepted",AM54&lt;&gt;"Authorised removal"),"LINKED DEPENDENCY UNRESOLVED ","")</f>
        <v/>
      </c>
      <c r="H54" s="11" t="str">
        <f t="shared" si="8"/>
        <v/>
      </c>
      <c r="I54" s="8"/>
      <c r="J54" s="8"/>
      <c r="K54" s="8"/>
      <c r="L54" s="9"/>
      <c r="M54" s="9"/>
      <c r="N54" s="8"/>
      <c r="O54" s="8"/>
      <c r="P54" s="8"/>
      <c r="Q54" s="8"/>
      <c r="R54" s="8"/>
      <c r="S54" s="8"/>
      <c r="T54" s="8"/>
      <c r="U54" s="8"/>
      <c r="V54" s="9"/>
      <c r="W54" s="8"/>
      <c r="X54" s="8"/>
      <c r="Y54" s="9"/>
      <c r="Z54" s="8"/>
      <c r="AA54" s="8"/>
      <c r="AB54" s="8"/>
      <c r="AC54" s="8"/>
      <c r="AD54" s="8"/>
      <c r="AE54" s="8"/>
      <c r="AF54" s="9"/>
      <c r="AG54" s="9"/>
      <c r="AH54" s="11" t="str">
        <f t="shared" si="9"/>
        <v/>
      </c>
      <c r="AI54" s="11" t="str">
        <f t="shared" si="10"/>
        <v/>
      </c>
      <c r="AJ54" s="11" t="str">
        <f t="shared" si="11"/>
        <v/>
      </c>
      <c r="AK54" s="11" t="str">
        <f t="shared" si="12"/>
        <v/>
      </c>
      <c r="AL54" s="11" t="str">
        <f t="shared" si="13"/>
        <v/>
      </c>
      <c r="AM54" s="11" t="str">
        <f>IF(A54="","",IF(AC54="","",IF(COUNTIF('05 - DEPENDENCIES'!$A$9:$A$58,AC54)=0,"Unknown ID",IF(COUNTIF('05 - DEPENDENCIES'!$A$9:$A$58,AC54)&gt;1,"Duplicate ID",INDEX('05 - DEPENDENCIES'!$AI$9:$AI$58,MATCH(AC54,'05 - DEPENDENCIES'!$A$9:$A$58,0))))))</f>
        <v/>
      </c>
    </row>
    <row r="55" spans="1:39" ht="60" customHeight="1">
      <c r="A55" s="8"/>
      <c r="B55" s="8"/>
      <c r="C55" s="8"/>
      <c r="D55" s="8"/>
      <c r="E55" s="9"/>
      <c r="F55" s="11" t="str">
        <f t="shared" si="7"/>
        <v/>
      </c>
      <c r="G55" s="20" t="str">
        <f>IF(A55="","",IF(COUNTIF('04 - DECISION LOG'!$A$9:$A$58,A55)&gt;1,"DUPLICATE ID ","")&amp;IF(ReviewDate="","SET REVIEW DATE ","")&amp;IF(C55="","STATUS MISSING ","")&amp;IF(E55="","DEADLINE MISSING ","")&amp;IF(D55="","OWNER MISSING ","")&amp;IF(AND(OR(C55="Open",C55="Deferred"),M55=""),"ACTIONABLE DATE MISSING ","")&amp;IF(AND(OR(C55="Open",C55="Deferred"),ISNUMBER(AH55),AH55&gt;=WarnDays),"THRESHOLD EXCEEDED ","")&amp;IF(AND(OR(C55="Open",C55="Deferred"),ISNUMBER(AH55),AH55&gt;=EscDays),"ESCALATION REQUIRED ","")&amp;IF(AND(OR(C55="Open",C55="Deferred"),ISNUMBER(AJ55),AJ55&gt;=0,AJ55&lt;=Upcoming),"APPROACHING DEADLINE ","")&amp;IF(AND(OR(C55="Open",C55="Deferred"),AK55&gt;0),"DECISION OVERDUE ","")&amp;IF(AND(C55="Deferred",V55=""),"DEFERRAL WITHOUT REVIEW DATE ","")&amp;IF(AND(C55="Decided",AG55="",OR(AF55="",AF55&lt;ReviewDate)),"DECISION NOT IMPLEMENTED ","")&amp;IF(AND(NOT(OR(C55="Open",C55="Deferred")),Y55=""),"CLOSURE DATE MISSING ","")&amp;IF(AND(ISNUMBER(Y55),Y55&lt;M55),"INVALID DATE ORDER ",""))&amp;IF(AND(A55&lt;&gt;"",AM55&lt;&gt;"",AM55&lt;&gt;"Consumer accepted",AM55&lt;&gt;"Authorised removal"),"LINKED DEPENDENCY UNRESOLVED ","")</f>
        <v/>
      </c>
      <c r="H55" s="11" t="str">
        <f t="shared" si="8"/>
        <v/>
      </c>
      <c r="I55" s="8"/>
      <c r="J55" s="8"/>
      <c r="K55" s="8"/>
      <c r="L55" s="9"/>
      <c r="M55" s="9"/>
      <c r="N55" s="8"/>
      <c r="O55" s="8"/>
      <c r="P55" s="8"/>
      <c r="Q55" s="8"/>
      <c r="R55" s="8"/>
      <c r="S55" s="8"/>
      <c r="T55" s="8"/>
      <c r="U55" s="8"/>
      <c r="V55" s="9"/>
      <c r="W55" s="8"/>
      <c r="X55" s="8"/>
      <c r="Y55" s="9"/>
      <c r="Z55" s="8"/>
      <c r="AA55" s="8"/>
      <c r="AB55" s="8"/>
      <c r="AC55" s="8"/>
      <c r="AD55" s="8"/>
      <c r="AE55" s="8"/>
      <c r="AF55" s="9"/>
      <c r="AG55" s="9"/>
      <c r="AH55" s="11" t="str">
        <f t="shared" si="9"/>
        <v/>
      </c>
      <c r="AI55" s="11" t="str">
        <f t="shared" si="10"/>
        <v/>
      </c>
      <c r="AJ55" s="11" t="str">
        <f t="shared" si="11"/>
        <v/>
      </c>
      <c r="AK55" s="11" t="str">
        <f t="shared" si="12"/>
        <v/>
      </c>
      <c r="AL55" s="11" t="str">
        <f t="shared" si="13"/>
        <v/>
      </c>
      <c r="AM55" s="11" t="str">
        <f>IF(A55="","",IF(AC55="","",IF(COUNTIF('05 - DEPENDENCIES'!$A$9:$A$58,AC55)=0,"Unknown ID",IF(COUNTIF('05 - DEPENDENCIES'!$A$9:$A$58,AC55)&gt;1,"Duplicate ID",INDEX('05 - DEPENDENCIES'!$AI$9:$AI$58,MATCH(AC55,'05 - DEPENDENCIES'!$A$9:$A$58,0))))))</f>
        <v/>
      </c>
    </row>
    <row r="56" spans="1:39" ht="60" customHeight="1">
      <c r="A56" s="8"/>
      <c r="B56" s="8"/>
      <c r="C56" s="8"/>
      <c r="D56" s="8"/>
      <c r="E56" s="9"/>
      <c r="F56" s="11" t="str">
        <f t="shared" si="7"/>
        <v/>
      </c>
      <c r="G56" s="20" t="str">
        <f>IF(A56="","",IF(COUNTIF('04 - DECISION LOG'!$A$9:$A$58,A56)&gt;1,"DUPLICATE ID ","")&amp;IF(ReviewDate="","SET REVIEW DATE ","")&amp;IF(C56="","STATUS MISSING ","")&amp;IF(E56="","DEADLINE MISSING ","")&amp;IF(D56="","OWNER MISSING ","")&amp;IF(AND(OR(C56="Open",C56="Deferred"),M56=""),"ACTIONABLE DATE MISSING ","")&amp;IF(AND(OR(C56="Open",C56="Deferred"),ISNUMBER(AH56),AH56&gt;=WarnDays),"THRESHOLD EXCEEDED ","")&amp;IF(AND(OR(C56="Open",C56="Deferred"),ISNUMBER(AH56),AH56&gt;=EscDays),"ESCALATION REQUIRED ","")&amp;IF(AND(OR(C56="Open",C56="Deferred"),ISNUMBER(AJ56),AJ56&gt;=0,AJ56&lt;=Upcoming),"APPROACHING DEADLINE ","")&amp;IF(AND(OR(C56="Open",C56="Deferred"),AK56&gt;0),"DECISION OVERDUE ","")&amp;IF(AND(C56="Deferred",V56=""),"DEFERRAL WITHOUT REVIEW DATE ","")&amp;IF(AND(C56="Decided",AG56="",OR(AF56="",AF56&lt;ReviewDate)),"DECISION NOT IMPLEMENTED ","")&amp;IF(AND(NOT(OR(C56="Open",C56="Deferred")),Y56=""),"CLOSURE DATE MISSING ","")&amp;IF(AND(ISNUMBER(Y56),Y56&lt;M56),"INVALID DATE ORDER ",""))&amp;IF(AND(A56&lt;&gt;"",AM56&lt;&gt;"",AM56&lt;&gt;"Consumer accepted",AM56&lt;&gt;"Authorised removal"),"LINKED DEPENDENCY UNRESOLVED ","")</f>
        <v/>
      </c>
      <c r="H56" s="11" t="str">
        <f t="shared" si="8"/>
        <v/>
      </c>
      <c r="I56" s="8"/>
      <c r="J56" s="8"/>
      <c r="K56" s="8"/>
      <c r="L56" s="9"/>
      <c r="M56" s="9"/>
      <c r="N56" s="8"/>
      <c r="O56" s="8"/>
      <c r="P56" s="8"/>
      <c r="Q56" s="8"/>
      <c r="R56" s="8"/>
      <c r="S56" s="8"/>
      <c r="T56" s="8"/>
      <c r="U56" s="8"/>
      <c r="V56" s="9"/>
      <c r="W56" s="8"/>
      <c r="X56" s="8"/>
      <c r="Y56" s="9"/>
      <c r="Z56" s="8"/>
      <c r="AA56" s="8"/>
      <c r="AB56" s="8"/>
      <c r="AC56" s="8"/>
      <c r="AD56" s="8"/>
      <c r="AE56" s="8"/>
      <c r="AF56" s="9"/>
      <c r="AG56" s="9"/>
      <c r="AH56" s="11" t="str">
        <f t="shared" si="9"/>
        <v/>
      </c>
      <c r="AI56" s="11" t="str">
        <f t="shared" si="10"/>
        <v/>
      </c>
      <c r="AJ56" s="11" t="str">
        <f t="shared" si="11"/>
        <v/>
      </c>
      <c r="AK56" s="11" t="str">
        <f t="shared" si="12"/>
        <v/>
      </c>
      <c r="AL56" s="11" t="str">
        <f t="shared" si="13"/>
        <v/>
      </c>
      <c r="AM56" s="11" t="str">
        <f>IF(A56="","",IF(AC56="","",IF(COUNTIF('05 - DEPENDENCIES'!$A$9:$A$58,AC56)=0,"Unknown ID",IF(COUNTIF('05 - DEPENDENCIES'!$A$9:$A$58,AC56)&gt;1,"Duplicate ID",INDEX('05 - DEPENDENCIES'!$AI$9:$AI$58,MATCH(AC56,'05 - DEPENDENCIES'!$A$9:$A$58,0))))))</f>
        <v/>
      </c>
    </row>
    <row r="57" spans="1:39" ht="60" customHeight="1">
      <c r="A57" s="8"/>
      <c r="B57" s="8"/>
      <c r="C57" s="8"/>
      <c r="D57" s="8"/>
      <c r="E57" s="9"/>
      <c r="F57" s="11" t="str">
        <f t="shared" si="7"/>
        <v/>
      </c>
      <c r="G57" s="20" t="str">
        <f>IF(A57="","",IF(COUNTIF('04 - DECISION LOG'!$A$9:$A$58,A57)&gt;1,"DUPLICATE ID ","")&amp;IF(ReviewDate="","SET REVIEW DATE ","")&amp;IF(C57="","STATUS MISSING ","")&amp;IF(E57="","DEADLINE MISSING ","")&amp;IF(D57="","OWNER MISSING ","")&amp;IF(AND(OR(C57="Open",C57="Deferred"),M57=""),"ACTIONABLE DATE MISSING ","")&amp;IF(AND(OR(C57="Open",C57="Deferred"),ISNUMBER(AH57),AH57&gt;=WarnDays),"THRESHOLD EXCEEDED ","")&amp;IF(AND(OR(C57="Open",C57="Deferred"),ISNUMBER(AH57),AH57&gt;=EscDays),"ESCALATION REQUIRED ","")&amp;IF(AND(OR(C57="Open",C57="Deferred"),ISNUMBER(AJ57),AJ57&gt;=0,AJ57&lt;=Upcoming),"APPROACHING DEADLINE ","")&amp;IF(AND(OR(C57="Open",C57="Deferred"),AK57&gt;0),"DECISION OVERDUE ","")&amp;IF(AND(C57="Deferred",V57=""),"DEFERRAL WITHOUT REVIEW DATE ","")&amp;IF(AND(C57="Decided",AG57="",OR(AF57="",AF57&lt;ReviewDate)),"DECISION NOT IMPLEMENTED ","")&amp;IF(AND(NOT(OR(C57="Open",C57="Deferred")),Y57=""),"CLOSURE DATE MISSING ","")&amp;IF(AND(ISNUMBER(Y57),Y57&lt;M57),"INVALID DATE ORDER ",""))&amp;IF(AND(A57&lt;&gt;"",AM57&lt;&gt;"",AM57&lt;&gt;"Consumer accepted",AM57&lt;&gt;"Authorised removal"),"LINKED DEPENDENCY UNRESOLVED ","")</f>
        <v/>
      </c>
      <c r="H57" s="11" t="str">
        <f t="shared" si="8"/>
        <v/>
      </c>
      <c r="I57" s="8"/>
      <c r="J57" s="8"/>
      <c r="K57" s="8"/>
      <c r="L57" s="9"/>
      <c r="M57" s="9"/>
      <c r="N57" s="8"/>
      <c r="O57" s="8"/>
      <c r="P57" s="8"/>
      <c r="Q57" s="8"/>
      <c r="R57" s="8"/>
      <c r="S57" s="8"/>
      <c r="T57" s="8"/>
      <c r="U57" s="8"/>
      <c r="V57" s="9"/>
      <c r="W57" s="8"/>
      <c r="X57" s="8"/>
      <c r="Y57" s="9"/>
      <c r="Z57" s="8"/>
      <c r="AA57" s="8"/>
      <c r="AB57" s="8"/>
      <c r="AC57" s="8"/>
      <c r="AD57" s="8"/>
      <c r="AE57" s="8"/>
      <c r="AF57" s="9"/>
      <c r="AG57" s="9"/>
      <c r="AH57" s="11" t="str">
        <f t="shared" si="9"/>
        <v/>
      </c>
      <c r="AI57" s="11" t="str">
        <f t="shared" si="10"/>
        <v/>
      </c>
      <c r="AJ57" s="11" t="str">
        <f t="shared" si="11"/>
        <v/>
      </c>
      <c r="AK57" s="11" t="str">
        <f t="shared" si="12"/>
        <v/>
      </c>
      <c r="AL57" s="11" t="str">
        <f t="shared" si="13"/>
        <v/>
      </c>
      <c r="AM57" s="11" t="str">
        <f>IF(A57="","",IF(AC57="","",IF(COUNTIF('05 - DEPENDENCIES'!$A$9:$A$58,AC57)=0,"Unknown ID",IF(COUNTIF('05 - DEPENDENCIES'!$A$9:$A$58,AC57)&gt;1,"Duplicate ID",INDEX('05 - DEPENDENCIES'!$AI$9:$AI$58,MATCH(AC57,'05 - DEPENDENCIES'!$A$9:$A$58,0))))))</f>
        <v/>
      </c>
    </row>
    <row r="58" spans="1:39" ht="60" customHeight="1">
      <c r="A58" s="8"/>
      <c r="B58" s="8"/>
      <c r="C58" s="8"/>
      <c r="D58" s="8"/>
      <c r="E58" s="9"/>
      <c r="F58" s="11" t="str">
        <f t="shared" si="7"/>
        <v/>
      </c>
      <c r="G58" s="20" t="str">
        <f>IF(A58="","",IF(COUNTIF('04 - DECISION LOG'!$A$9:$A$58,A58)&gt;1,"DUPLICATE ID ","")&amp;IF(ReviewDate="","SET REVIEW DATE ","")&amp;IF(C58="","STATUS MISSING ","")&amp;IF(E58="","DEADLINE MISSING ","")&amp;IF(D58="","OWNER MISSING ","")&amp;IF(AND(OR(C58="Open",C58="Deferred"),M58=""),"ACTIONABLE DATE MISSING ","")&amp;IF(AND(OR(C58="Open",C58="Deferred"),ISNUMBER(AH58),AH58&gt;=WarnDays),"THRESHOLD EXCEEDED ","")&amp;IF(AND(OR(C58="Open",C58="Deferred"),ISNUMBER(AH58),AH58&gt;=EscDays),"ESCALATION REQUIRED ","")&amp;IF(AND(OR(C58="Open",C58="Deferred"),ISNUMBER(AJ58),AJ58&gt;=0,AJ58&lt;=Upcoming),"APPROACHING DEADLINE ","")&amp;IF(AND(OR(C58="Open",C58="Deferred"),AK58&gt;0),"DECISION OVERDUE ","")&amp;IF(AND(C58="Deferred",V58=""),"DEFERRAL WITHOUT REVIEW DATE ","")&amp;IF(AND(C58="Decided",AG58="",OR(AF58="",AF58&lt;ReviewDate)),"DECISION NOT IMPLEMENTED ","")&amp;IF(AND(NOT(OR(C58="Open",C58="Deferred")),Y58=""),"CLOSURE DATE MISSING ","")&amp;IF(AND(ISNUMBER(Y58),Y58&lt;M58),"INVALID DATE ORDER ",""))&amp;IF(AND(A58&lt;&gt;"",AM58&lt;&gt;"",AM58&lt;&gt;"Consumer accepted",AM58&lt;&gt;"Authorised removal"),"LINKED DEPENDENCY UNRESOLVED ","")</f>
        <v/>
      </c>
      <c r="H58" s="11" t="str">
        <f t="shared" si="8"/>
        <v/>
      </c>
      <c r="I58" s="8"/>
      <c r="J58" s="8"/>
      <c r="K58" s="8"/>
      <c r="L58" s="9"/>
      <c r="M58" s="9"/>
      <c r="N58" s="8"/>
      <c r="O58" s="8"/>
      <c r="P58" s="8"/>
      <c r="Q58" s="8"/>
      <c r="R58" s="8"/>
      <c r="S58" s="8"/>
      <c r="T58" s="8"/>
      <c r="U58" s="8"/>
      <c r="V58" s="9"/>
      <c r="W58" s="8"/>
      <c r="X58" s="8"/>
      <c r="Y58" s="9"/>
      <c r="Z58" s="8"/>
      <c r="AA58" s="8"/>
      <c r="AB58" s="8"/>
      <c r="AC58" s="8"/>
      <c r="AD58" s="8"/>
      <c r="AE58" s="8"/>
      <c r="AF58" s="9"/>
      <c r="AG58" s="9"/>
      <c r="AH58" s="11" t="str">
        <f t="shared" si="9"/>
        <v/>
      </c>
      <c r="AI58" s="11" t="str">
        <f t="shared" si="10"/>
        <v/>
      </c>
      <c r="AJ58" s="11" t="str">
        <f t="shared" si="11"/>
        <v/>
      </c>
      <c r="AK58" s="11" t="str">
        <f t="shared" si="12"/>
        <v/>
      </c>
      <c r="AL58" s="11" t="str">
        <f t="shared" si="13"/>
        <v/>
      </c>
      <c r="AM58" s="11" t="str">
        <f>IF(A58="","",IF(AC58="","",IF(COUNTIF('05 - DEPENDENCIES'!$A$9:$A$58,AC58)=0,"Unknown ID",IF(COUNTIF('05 - DEPENDENCIES'!$A$9:$A$58,AC58)&gt;1,"Duplicate ID",INDEX('05 - DEPENDENCIES'!$AI$9:$AI$58,MATCH(AC58,'05 - DEPENDENCIES'!$A$9:$A$58,0))))))</f>
        <v/>
      </c>
    </row>
    <row r="59" spans="1:39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</sheetData>
  <mergeCells count="2">
    <mergeCell ref="A4:J4"/>
    <mergeCell ref="C6:J6"/>
  </mergeCells>
  <conditionalFormatting sqref="F9:F58">
    <cfRule type="containsText" dxfId="15" priority="2" operator="containsText" text="Critical"/>
  </conditionalFormatting>
  <conditionalFormatting sqref="G9:G58">
    <cfRule type="containsText" dxfId="14" priority="1" operator="containsText" text="MISSING"/>
  </conditionalFormatting>
  <dataValidations count="4">
    <dataValidation type="list" sqref="C9:C58" xr:uid="{00000000-0002-0000-0400-000000000000}">
      <formula1>DecisionStatus</formula1>
    </dataValidation>
    <dataValidation type="list" sqref="O9:O58" xr:uid="{00000000-0002-0000-0400-000001000000}">
      <formula1>Authority</formula1>
    </dataValidation>
    <dataValidation type="list" sqref="AC9:AC58" xr:uid="{00000000-0002-0000-0400-000002000000}">
      <formula1>DependencyIDs</formula1>
    </dataValidation>
    <dataValidation type="list" sqref="AE9:AE58" xr:uid="{00000000-0002-0000-0400-000003000000}">
      <formula1>ReadinessIDs</formula1>
    </dataValidation>
  </dataValidations>
  <hyperlinks>
    <hyperlink ref="A6" location="'00 - START HERE'!A1" display="Start here" xr:uid="{00000000-0004-0000-04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87C78"/>
  </sheetPr>
  <dimension ref="A1:AK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21" width="20" customWidth="1"/>
    <col min="22" max="22" width="32" customWidth="1"/>
    <col min="23" max="33" width="20" customWidth="1"/>
    <col min="34" max="34" width="32" customWidth="1"/>
    <col min="35" max="37" width="20" customWidth="1"/>
  </cols>
  <sheetData>
    <row r="1" spans="1:37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32.1" customHeight="1">
      <c r="A2" s="2" t="s">
        <v>236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33.950000000000003" customHeight="1">
      <c r="A4" s="21" t="s">
        <v>237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"&amp;SUMPRODUCT(--('05 - DEPENDENCIES'!$A$9:$A$58=""),--('05 - DEPENDENCIES'!$B$9:$B$58&lt;&gt;""))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33.950000000000003" customHeight="1">
      <c r="A8" s="5" t="s">
        <v>131</v>
      </c>
      <c r="B8" s="5" t="s">
        <v>238</v>
      </c>
      <c r="C8" s="5" t="s">
        <v>191</v>
      </c>
      <c r="D8" s="5" t="s">
        <v>108</v>
      </c>
      <c r="E8" s="5" t="s">
        <v>192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239</v>
      </c>
      <c r="K8" s="5" t="s">
        <v>240</v>
      </c>
      <c r="L8" s="5" t="s">
        <v>241</v>
      </c>
      <c r="M8" s="5" t="s">
        <v>242</v>
      </c>
      <c r="N8" s="5" t="s">
        <v>243</v>
      </c>
      <c r="O8" s="5" t="s">
        <v>244</v>
      </c>
      <c r="P8" s="5" t="s">
        <v>245</v>
      </c>
      <c r="Q8" s="5" t="s">
        <v>246</v>
      </c>
      <c r="R8" s="5" t="s">
        <v>247</v>
      </c>
      <c r="S8" s="5" t="s">
        <v>248</v>
      </c>
      <c r="T8" s="5" t="s">
        <v>249</v>
      </c>
      <c r="U8" s="5" t="s">
        <v>250</v>
      </c>
      <c r="V8" s="5" t="s">
        <v>251</v>
      </c>
      <c r="W8" s="5" t="s">
        <v>252</v>
      </c>
      <c r="X8" s="5" t="s">
        <v>253</v>
      </c>
      <c r="Y8" s="5" t="s">
        <v>254</v>
      </c>
      <c r="Z8" s="5" t="s">
        <v>255</v>
      </c>
      <c r="AA8" s="5" t="s">
        <v>256</v>
      </c>
      <c r="AB8" s="5" t="s">
        <v>257</v>
      </c>
      <c r="AC8" s="5" t="s">
        <v>258</v>
      </c>
      <c r="AD8" s="5" t="s">
        <v>259</v>
      </c>
      <c r="AE8" s="5" t="s">
        <v>109</v>
      </c>
      <c r="AF8" s="5" t="s">
        <v>260</v>
      </c>
      <c r="AG8" s="5" t="s">
        <v>261</v>
      </c>
      <c r="AH8" s="5" t="s">
        <v>262</v>
      </c>
      <c r="AI8" s="5" t="s">
        <v>263</v>
      </c>
      <c r="AJ8" s="5" t="s">
        <v>218</v>
      </c>
      <c r="AK8" s="5" t="s">
        <v>219</v>
      </c>
    </row>
    <row r="9" spans="1:37" ht="39.6" customHeight="1">
      <c r="A9" s="8" t="s">
        <v>165</v>
      </c>
      <c r="B9" s="8" t="s">
        <v>264</v>
      </c>
      <c r="C9" s="8" t="s">
        <v>265</v>
      </c>
      <c r="D9" s="8" t="s">
        <v>162</v>
      </c>
      <c r="E9" s="9">
        <v>46290</v>
      </c>
      <c r="F9" s="11" t="str">
        <f t="shared" ref="F9:F40" si="0">IF(A9="","",IF(AND(AI9="Unresolved",O9="Critical",OR(AK9&gt;0,R9&gt;=Misses)),"Critical",IF(G9&lt;&gt;"","Review","Routine")))</f>
        <v>Critical</v>
      </c>
      <c r="G9" s="20" t="str">
        <f>IF(A9="","",IF(COUNTIF('05 - DEPENDENCIES'!$A$9:$A$58,A9)&gt;1,"DUPLICATE ID ","")&amp;IF(ReviewDate="","SET REVIEW DATE ","")&amp;IF(AND(C9="Closed",AI9="Unresolved"),"CLOSURE NOT EVIDENCED ","")&amp;IF(AND(AI9="Unresolved",R9&gt;=Misses),"REPEATED MISSED COMMITMENT ","")&amp;IF(AND(AI9="Unresolved",Q9="Low"),"LOW-CONFIDENCE FORECAST ","")&amp;IF(AND(AI9="Unresolved",W9&lt;&gt;"Yes"),"CONSUMER ACCEPTANCE MISSING ","")&amp;IF(AND(AI9="Unresolved",AK9&gt;0),"DEPENDENCY OVERDUE ","")&amp;IF(AND(AI9="Unresolved",E9=""),"DEADLINE MISSING ",""))</f>
        <v xml:space="preserve">REPEATED MISSED COMMITMENT LOW-CONFIDENCE FORECAST CONSUMER ACCEPTANCE MISSING </v>
      </c>
      <c r="H9" s="11" t="str">
        <f t="shared" ref="H9:H40" si="1">IF(A9="","",IF(AI9&lt;&gt;"Unresolved","",IF(R9&gt;=Misses,"Review eliminate / decouple options before accepting another forecast.","Obtain consumer acceptance evidence or authorised removal.")))</f>
        <v>Review eliminate / decouple options before accepting another forecast.</v>
      </c>
      <c r="I9" s="8" t="s">
        <v>266</v>
      </c>
      <c r="J9" s="8" t="s">
        <v>267</v>
      </c>
      <c r="K9" s="8" t="s">
        <v>235</v>
      </c>
      <c r="L9" s="8" t="s">
        <v>268</v>
      </c>
      <c r="M9" s="8" t="s">
        <v>269</v>
      </c>
      <c r="N9" s="8" t="s">
        <v>270</v>
      </c>
      <c r="O9" s="8" t="s">
        <v>271</v>
      </c>
      <c r="P9" s="9">
        <v>46290</v>
      </c>
      <c r="Q9" s="8" t="s">
        <v>174</v>
      </c>
      <c r="R9" s="8">
        <v>2</v>
      </c>
      <c r="S9" s="8" t="s">
        <v>272</v>
      </c>
      <c r="T9" s="8" t="s">
        <v>273</v>
      </c>
      <c r="U9" s="8" t="s">
        <v>274</v>
      </c>
      <c r="V9" s="8"/>
      <c r="W9" s="8" t="s">
        <v>275</v>
      </c>
      <c r="X9" s="9"/>
      <c r="Y9" s="8" t="s">
        <v>276</v>
      </c>
      <c r="Z9" s="8" t="s">
        <v>277</v>
      </c>
      <c r="AA9" s="8" t="s">
        <v>278</v>
      </c>
      <c r="AB9" s="8" t="s">
        <v>279</v>
      </c>
      <c r="AC9" s="8" t="s">
        <v>280</v>
      </c>
      <c r="AD9" s="8" t="s">
        <v>281</v>
      </c>
      <c r="AE9" s="9">
        <v>46290</v>
      </c>
      <c r="AF9" s="8" t="s">
        <v>275</v>
      </c>
      <c r="AG9" s="8"/>
      <c r="AH9" s="8"/>
      <c r="AI9" s="11" t="str">
        <f t="shared" ref="AI9:AI40" si="2">IF(A9="","",IF(AND(W9="Yes",V9&lt;&gt;"",ISNUMBER(X9)),"Consumer accepted",IF(AND(AF9="Yes",AG9&lt;&gt;"",AH9&lt;&gt;""),"Authorised removal","Unresolved")))</f>
        <v>Unresolved</v>
      </c>
      <c r="AJ9" s="11">
        <f t="shared" ref="AJ9:AJ40" si="3">IF(A9="","",IF(AND(AI9="Unresolved",ISNUMBER(E9),ISNUMBER(ReviewDate)),E9-ReviewDate,""))</f>
        <v>1</v>
      </c>
      <c r="AK9" s="11">
        <f t="shared" ref="AK9:AK40" si="4">IF(A9="","",IF(ISNUMBER(AJ9),MAX(0,-AJ9),""))</f>
        <v>0</v>
      </c>
    </row>
    <row r="10" spans="1:37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IF(A10="","",IF(COUNTIF('05 - DEPENDENCIES'!$A$9:$A$58,A10)&gt;1,"DUPLICATE ID ","")&amp;IF(ReviewDate="","SET REVIEW DATE ","")&amp;IF(AND(C10="Closed",AI10="Unresolved"),"CLOSURE NOT EVIDENCED ","")&amp;IF(AND(AI10="Unresolved",R10&gt;=Misses),"REPEATED MISSED COMMITMENT ","")&amp;IF(AND(AI10="Unresolved",Q10="Low"),"LOW-CONFIDENCE FORECAST ","")&amp;IF(AND(AI10="Unresolved",W10&lt;&gt;"Yes"),"CONSUMER ACCEPTANCE MISSING ","")&amp;IF(AND(AI10="Unresolved",AK10&gt;0),"DEPENDENCY OVERDUE ","")&amp;IF(AND(AI10="Unresolved",E10=""),"DEADLINE MISSING ",""))</f>
        <v/>
      </c>
      <c r="H10" s="11" t="str">
        <f t="shared" si="1"/>
        <v/>
      </c>
      <c r="I10" s="8"/>
      <c r="J10" s="8"/>
      <c r="K10" s="8"/>
      <c r="L10" s="8"/>
      <c r="M10" s="8"/>
      <c r="N10" s="8"/>
      <c r="O10" s="8"/>
      <c r="P10" s="9"/>
      <c r="Q10" s="8"/>
      <c r="R10" s="8"/>
      <c r="S10" s="8"/>
      <c r="T10" s="8"/>
      <c r="U10" s="8"/>
      <c r="V10" s="8"/>
      <c r="W10" s="8"/>
      <c r="X10" s="9"/>
      <c r="Y10" s="8"/>
      <c r="Z10" s="8"/>
      <c r="AA10" s="8"/>
      <c r="AB10" s="8"/>
      <c r="AC10" s="8"/>
      <c r="AD10" s="8"/>
      <c r="AE10" s="9"/>
      <c r="AF10" s="8"/>
      <c r="AG10" s="8"/>
      <c r="AH10" s="8"/>
      <c r="AI10" s="11" t="str">
        <f t="shared" si="2"/>
        <v/>
      </c>
      <c r="AJ10" s="11" t="str">
        <f t="shared" si="3"/>
        <v/>
      </c>
      <c r="AK10" s="11" t="str">
        <f t="shared" si="4"/>
        <v/>
      </c>
    </row>
    <row r="11" spans="1:37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IF(A11="","",IF(COUNTIF('05 - DEPENDENCIES'!$A$9:$A$58,A11)&gt;1,"DUPLICATE ID ","")&amp;IF(ReviewDate="","SET REVIEW DATE ","")&amp;IF(AND(C11="Closed",AI11="Unresolved"),"CLOSURE NOT EVIDENCED ","")&amp;IF(AND(AI11="Unresolved",R11&gt;=Misses),"REPEATED MISSED COMMITMENT ","")&amp;IF(AND(AI11="Unresolved",Q11="Low"),"LOW-CONFIDENCE FORECAST ","")&amp;IF(AND(AI11="Unresolved",W11&lt;&gt;"Yes"),"CONSUMER ACCEPTANCE MISSING ","")&amp;IF(AND(AI11="Unresolved",AK11&gt;0),"DEPENDENCY OVERDUE ","")&amp;IF(AND(AI11="Unresolved",E11=""),"DEADLINE MISSING ",""))</f>
        <v/>
      </c>
      <c r="H11" s="11" t="str">
        <f t="shared" si="1"/>
        <v/>
      </c>
      <c r="I11" s="8"/>
      <c r="J11" s="8"/>
      <c r="K11" s="8"/>
      <c r="L11" s="8"/>
      <c r="M11" s="8"/>
      <c r="N11" s="8"/>
      <c r="O11" s="8"/>
      <c r="P11" s="9"/>
      <c r="Q11" s="8"/>
      <c r="R11" s="8"/>
      <c r="S11" s="8"/>
      <c r="T11" s="8"/>
      <c r="U11" s="8"/>
      <c r="V11" s="8"/>
      <c r="W11" s="8"/>
      <c r="X11" s="9"/>
      <c r="Y11" s="8"/>
      <c r="Z11" s="8"/>
      <c r="AA11" s="8"/>
      <c r="AB11" s="8"/>
      <c r="AC11" s="8"/>
      <c r="AD11" s="8"/>
      <c r="AE11" s="9"/>
      <c r="AF11" s="8"/>
      <c r="AG11" s="8"/>
      <c r="AH11" s="8"/>
      <c r="AI11" s="11" t="str">
        <f t="shared" si="2"/>
        <v/>
      </c>
      <c r="AJ11" s="11" t="str">
        <f t="shared" si="3"/>
        <v/>
      </c>
      <c r="AK11" s="11" t="str">
        <f t="shared" si="4"/>
        <v/>
      </c>
    </row>
    <row r="12" spans="1:37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IF(A12="","",IF(COUNTIF('05 - DEPENDENCIES'!$A$9:$A$58,A12)&gt;1,"DUPLICATE ID ","")&amp;IF(ReviewDate="","SET REVIEW DATE ","")&amp;IF(AND(C12="Closed",AI12="Unresolved"),"CLOSURE NOT EVIDENCED ","")&amp;IF(AND(AI12="Unresolved",R12&gt;=Misses),"REPEATED MISSED COMMITMENT ","")&amp;IF(AND(AI12="Unresolved",Q12="Low"),"LOW-CONFIDENCE FORECAST ","")&amp;IF(AND(AI12="Unresolved",W12&lt;&gt;"Yes"),"CONSUMER ACCEPTANCE MISSING ","")&amp;IF(AND(AI12="Unresolved",AK12&gt;0),"DEPENDENCY OVERDUE ","")&amp;IF(AND(AI12="Unresolved",E12=""),"DEADLINE MISSING ",""))</f>
        <v/>
      </c>
      <c r="H12" s="11" t="str">
        <f t="shared" si="1"/>
        <v/>
      </c>
      <c r="I12" s="8"/>
      <c r="J12" s="8"/>
      <c r="K12" s="8"/>
      <c r="L12" s="8"/>
      <c r="M12" s="8"/>
      <c r="N12" s="8"/>
      <c r="O12" s="8"/>
      <c r="P12" s="9"/>
      <c r="Q12" s="8"/>
      <c r="R12" s="8"/>
      <c r="S12" s="8"/>
      <c r="T12" s="8"/>
      <c r="U12" s="8"/>
      <c r="V12" s="8"/>
      <c r="W12" s="8"/>
      <c r="X12" s="9"/>
      <c r="Y12" s="8"/>
      <c r="Z12" s="8"/>
      <c r="AA12" s="8"/>
      <c r="AB12" s="8"/>
      <c r="AC12" s="8"/>
      <c r="AD12" s="8"/>
      <c r="AE12" s="9"/>
      <c r="AF12" s="8"/>
      <c r="AG12" s="8"/>
      <c r="AH12" s="8"/>
      <c r="AI12" s="11" t="str">
        <f t="shared" si="2"/>
        <v/>
      </c>
      <c r="AJ12" s="11" t="str">
        <f t="shared" si="3"/>
        <v/>
      </c>
      <c r="AK12" s="11" t="str">
        <f t="shared" si="4"/>
        <v/>
      </c>
    </row>
    <row r="13" spans="1:37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IF(A13="","",IF(COUNTIF('05 - DEPENDENCIES'!$A$9:$A$58,A13)&gt;1,"DUPLICATE ID ","")&amp;IF(ReviewDate="","SET REVIEW DATE ","")&amp;IF(AND(C13="Closed",AI13="Unresolved"),"CLOSURE NOT EVIDENCED ","")&amp;IF(AND(AI13="Unresolved",R13&gt;=Misses),"REPEATED MISSED COMMITMENT ","")&amp;IF(AND(AI13="Unresolved",Q13="Low"),"LOW-CONFIDENCE FORECAST ","")&amp;IF(AND(AI13="Unresolved",W13&lt;&gt;"Yes"),"CONSUMER ACCEPTANCE MISSING ","")&amp;IF(AND(AI13="Unresolved",AK13&gt;0),"DEPENDENCY OVERDUE ","")&amp;IF(AND(AI13="Unresolved",E13=""),"DEADLINE MISSING ",""))</f>
        <v/>
      </c>
      <c r="H13" s="11" t="str">
        <f t="shared" si="1"/>
        <v/>
      </c>
      <c r="I13" s="8"/>
      <c r="J13" s="8"/>
      <c r="K13" s="8"/>
      <c r="L13" s="8"/>
      <c r="M13" s="8"/>
      <c r="N13" s="8"/>
      <c r="O13" s="8"/>
      <c r="P13" s="9"/>
      <c r="Q13" s="8"/>
      <c r="R13" s="8"/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9"/>
      <c r="AF13" s="8"/>
      <c r="AG13" s="8"/>
      <c r="AH13" s="8"/>
      <c r="AI13" s="11" t="str">
        <f t="shared" si="2"/>
        <v/>
      </c>
      <c r="AJ13" s="11" t="str">
        <f t="shared" si="3"/>
        <v/>
      </c>
      <c r="AK13" s="11" t="str">
        <f t="shared" si="4"/>
        <v/>
      </c>
    </row>
    <row r="14" spans="1:37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IF(A14="","",IF(COUNTIF('05 - DEPENDENCIES'!$A$9:$A$58,A14)&gt;1,"DUPLICATE ID ","")&amp;IF(ReviewDate="","SET REVIEW DATE ","")&amp;IF(AND(C14="Closed",AI14="Unresolved"),"CLOSURE NOT EVIDENCED ","")&amp;IF(AND(AI14="Unresolved",R14&gt;=Misses),"REPEATED MISSED COMMITMENT ","")&amp;IF(AND(AI14="Unresolved",Q14="Low"),"LOW-CONFIDENCE FORECAST ","")&amp;IF(AND(AI14="Unresolved",W14&lt;&gt;"Yes"),"CONSUMER ACCEPTANCE MISSING ","")&amp;IF(AND(AI14="Unresolved",AK14&gt;0),"DEPENDENCY OVERDUE ","")&amp;IF(AND(AI14="Unresolved",E14=""),"DEADLINE MISSING ",""))</f>
        <v/>
      </c>
      <c r="H14" s="11" t="str">
        <f t="shared" si="1"/>
        <v/>
      </c>
      <c r="I14" s="8"/>
      <c r="J14" s="8"/>
      <c r="K14" s="8"/>
      <c r="L14" s="8"/>
      <c r="M14" s="8"/>
      <c r="N14" s="8"/>
      <c r="O14" s="8"/>
      <c r="P14" s="9"/>
      <c r="Q14" s="8"/>
      <c r="R14" s="8"/>
      <c r="S14" s="8"/>
      <c r="T14" s="8"/>
      <c r="U14" s="8"/>
      <c r="V14" s="8"/>
      <c r="W14" s="8"/>
      <c r="X14" s="9"/>
      <c r="Y14" s="8"/>
      <c r="Z14" s="8"/>
      <c r="AA14" s="8"/>
      <c r="AB14" s="8"/>
      <c r="AC14" s="8"/>
      <c r="AD14" s="8"/>
      <c r="AE14" s="9"/>
      <c r="AF14" s="8"/>
      <c r="AG14" s="8"/>
      <c r="AH14" s="8"/>
      <c r="AI14" s="11" t="str">
        <f t="shared" si="2"/>
        <v/>
      </c>
      <c r="AJ14" s="11" t="str">
        <f t="shared" si="3"/>
        <v/>
      </c>
      <c r="AK14" s="11" t="str">
        <f t="shared" si="4"/>
        <v/>
      </c>
    </row>
    <row r="15" spans="1:37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IF(A15="","",IF(COUNTIF('05 - DEPENDENCIES'!$A$9:$A$58,A15)&gt;1,"DUPLICATE ID ","")&amp;IF(ReviewDate="","SET REVIEW DATE ","")&amp;IF(AND(C15="Closed",AI15="Unresolved"),"CLOSURE NOT EVIDENCED ","")&amp;IF(AND(AI15="Unresolved",R15&gt;=Misses),"REPEATED MISSED COMMITMENT ","")&amp;IF(AND(AI15="Unresolved",Q15="Low"),"LOW-CONFIDENCE FORECAST ","")&amp;IF(AND(AI15="Unresolved",W15&lt;&gt;"Yes"),"CONSUMER ACCEPTANCE MISSING ","")&amp;IF(AND(AI15="Unresolved",AK15&gt;0),"DEPENDENCY OVERDUE ","")&amp;IF(AND(AI15="Unresolved",E15=""),"DEADLINE MISSING ",""))</f>
        <v/>
      </c>
      <c r="H15" s="11" t="str">
        <f t="shared" si="1"/>
        <v/>
      </c>
      <c r="I15" s="8"/>
      <c r="J15" s="8"/>
      <c r="K15" s="8"/>
      <c r="L15" s="8"/>
      <c r="M15" s="8"/>
      <c r="N15" s="8"/>
      <c r="O15" s="8"/>
      <c r="P15" s="9"/>
      <c r="Q15" s="8"/>
      <c r="R15" s="8"/>
      <c r="S15" s="8"/>
      <c r="T15" s="8"/>
      <c r="U15" s="8"/>
      <c r="V15" s="8"/>
      <c r="W15" s="8"/>
      <c r="X15" s="9"/>
      <c r="Y15" s="8"/>
      <c r="Z15" s="8"/>
      <c r="AA15" s="8"/>
      <c r="AB15" s="8"/>
      <c r="AC15" s="8"/>
      <c r="AD15" s="8"/>
      <c r="AE15" s="9"/>
      <c r="AF15" s="8"/>
      <c r="AG15" s="8"/>
      <c r="AH15" s="8"/>
      <c r="AI15" s="11" t="str">
        <f t="shared" si="2"/>
        <v/>
      </c>
      <c r="AJ15" s="11" t="str">
        <f t="shared" si="3"/>
        <v/>
      </c>
      <c r="AK15" s="11" t="str">
        <f t="shared" si="4"/>
        <v/>
      </c>
    </row>
    <row r="16" spans="1:37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IF(A16="","",IF(COUNTIF('05 - DEPENDENCIES'!$A$9:$A$58,A16)&gt;1,"DUPLICATE ID ","")&amp;IF(ReviewDate="","SET REVIEW DATE ","")&amp;IF(AND(C16="Closed",AI16="Unresolved"),"CLOSURE NOT EVIDENCED ","")&amp;IF(AND(AI16="Unresolved",R16&gt;=Misses),"REPEATED MISSED COMMITMENT ","")&amp;IF(AND(AI16="Unresolved",Q16="Low"),"LOW-CONFIDENCE FORECAST ","")&amp;IF(AND(AI16="Unresolved",W16&lt;&gt;"Yes"),"CONSUMER ACCEPTANCE MISSING ","")&amp;IF(AND(AI16="Unresolved",AK16&gt;0),"DEPENDENCY OVERDUE ","")&amp;IF(AND(AI16="Unresolved",E16=""),"DEADLINE MISSING ",""))</f>
        <v/>
      </c>
      <c r="H16" s="11" t="str">
        <f t="shared" si="1"/>
        <v/>
      </c>
      <c r="I16" s="8"/>
      <c r="J16" s="8"/>
      <c r="K16" s="8"/>
      <c r="L16" s="8"/>
      <c r="M16" s="8"/>
      <c r="N16" s="8"/>
      <c r="O16" s="8"/>
      <c r="P16" s="9"/>
      <c r="Q16" s="8"/>
      <c r="R16" s="8"/>
      <c r="S16" s="8"/>
      <c r="T16" s="8"/>
      <c r="U16" s="8"/>
      <c r="V16" s="8"/>
      <c r="W16" s="8"/>
      <c r="X16" s="9"/>
      <c r="Y16" s="8"/>
      <c r="Z16" s="8"/>
      <c r="AA16" s="8"/>
      <c r="AB16" s="8"/>
      <c r="AC16" s="8"/>
      <c r="AD16" s="8"/>
      <c r="AE16" s="9"/>
      <c r="AF16" s="8"/>
      <c r="AG16" s="8"/>
      <c r="AH16" s="8"/>
      <c r="AI16" s="11" t="str">
        <f t="shared" si="2"/>
        <v/>
      </c>
      <c r="AJ16" s="11" t="str">
        <f t="shared" si="3"/>
        <v/>
      </c>
      <c r="AK16" s="11" t="str">
        <f t="shared" si="4"/>
        <v/>
      </c>
    </row>
    <row r="17" spans="1:37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IF(A17="","",IF(COUNTIF('05 - DEPENDENCIES'!$A$9:$A$58,A17)&gt;1,"DUPLICATE ID ","")&amp;IF(ReviewDate="","SET REVIEW DATE ","")&amp;IF(AND(C17="Closed",AI17="Unresolved"),"CLOSURE NOT EVIDENCED ","")&amp;IF(AND(AI17="Unresolved",R17&gt;=Misses),"REPEATED MISSED COMMITMENT ","")&amp;IF(AND(AI17="Unresolved",Q17="Low"),"LOW-CONFIDENCE FORECAST ","")&amp;IF(AND(AI17="Unresolved",W17&lt;&gt;"Yes"),"CONSUMER ACCEPTANCE MISSING ","")&amp;IF(AND(AI17="Unresolved",AK17&gt;0),"DEPENDENCY OVERDUE ","")&amp;IF(AND(AI17="Unresolved",E17=""),"DEADLINE MISSING ",""))</f>
        <v/>
      </c>
      <c r="H17" s="11" t="str">
        <f t="shared" si="1"/>
        <v/>
      </c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9"/>
      <c r="Y17" s="8"/>
      <c r="Z17" s="8"/>
      <c r="AA17" s="8"/>
      <c r="AB17" s="8"/>
      <c r="AC17" s="8"/>
      <c r="AD17" s="8"/>
      <c r="AE17" s="9"/>
      <c r="AF17" s="8"/>
      <c r="AG17" s="8"/>
      <c r="AH17" s="8"/>
      <c r="AI17" s="11" t="str">
        <f t="shared" si="2"/>
        <v/>
      </c>
      <c r="AJ17" s="11" t="str">
        <f t="shared" si="3"/>
        <v/>
      </c>
      <c r="AK17" s="11" t="str">
        <f t="shared" si="4"/>
        <v/>
      </c>
    </row>
    <row r="18" spans="1:37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IF(A18="","",IF(COUNTIF('05 - DEPENDENCIES'!$A$9:$A$58,A18)&gt;1,"DUPLICATE ID ","")&amp;IF(ReviewDate="","SET REVIEW DATE ","")&amp;IF(AND(C18="Closed",AI18="Unresolved"),"CLOSURE NOT EVIDENCED ","")&amp;IF(AND(AI18="Unresolved",R18&gt;=Misses),"REPEATED MISSED COMMITMENT ","")&amp;IF(AND(AI18="Unresolved",Q18="Low"),"LOW-CONFIDENCE FORECAST ","")&amp;IF(AND(AI18="Unresolved",W18&lt;&gt;"Yes"),"CONSUMER ACCEPTANCE MISSING ","")&amp;IF(AND(AI18="Unresolved",AK18&gt;0),"DEPENDENCY OVERDUE ","")&amp;IF(AND(AI18="Unresolved",E18=""),"DEADLINE MISSING ",""))</f>
        <v/>
      </c>
      <c r="H18" s="11" t="str">
        <f t="shared" si="1"/>
        <v/>
      </c>
      <c r="I18" s="8"/>
      <c r="J18" s="8"/>
      <c r="K18" s="8"/>
      <c r="L18" s="8"/>
      <c r="M18" s="8"/>
      <c r="N18" s="8"/>
      <c r="O18" s="8"/>
      <c r="P18" s="9"/>
      <c r="Q18" s="8"/>
      <c r="R18" s="8"/>
      <c r="S18" s="8"/>
      <c r="T18" s="8"/>
      <c r="U18" s="8"/>
      <c r="V18" s="8"/>
      <c r="W18" s="8"/>
      <c r="X18" s="9"/>
      <c r="Y18" s="8"/>
      <c r="Z18" s="8"/>
      <c r="AA18" s="8"/>
      <c r="AB18" s="8"/>
      <c r="AC18" s="8"/>
      <c r="AD18" s="8"/>
      <c r="AE18" s="9"/>
      <c r="AF18" s="8"/>
      <c r="AG18" s="8"/>
      <c r="AH18" s="8"/>
      <c r="AI18" s="11" t="str">
        <f t="shared" si="2"/>
        <v/>
      </c>
      <c r="AJ18" s="11" t="str">
        <f t="shared" si="3"/>
        <v/>
      </c>
      <c r="AK18" s="11" t="str">
        <f t="shared" si="4"/>
        <v/>
      </c>
    </row>
    <row r="19" spans="1:37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IF(A19="","",IF(COUNTIF('05 - DEPENDENCIES'!$A$9:$A$58,A19)&gt;1,"DUPLICATE ID ","")&amp;IF(ReviewDate="","SET REVIEW DATE ","")&amp;IF(AND(C19="Closed",AI19="Unresolved"),"CLOSURE NOT EVIDENCED ","")&amp;IF(AND(AI19="Unresolved",R19&gt;=Misses),"REPEATED MISSED COMMITMENT ","")&amp;IF(AND(AI19="Unresolved",Q19="Low"),"LOW-CONFIDENCE FORECAST ","")&amp;IF(AND(AI19="Unresolved",W19&lt;&gt;"Yes"),"CONSUMER ACCEPTANCE MISSING ","")&amp;IF(AND(AI19="Unresolved",AK19&gt;0),"DEPENDENCY OVERDUE ","")&amp;IF(AND(AI19="Unresolved",E19=""),"DEADLINE MISSING ",""))</f>
        <v/>
      </c>
      <c r="H19" s="11" t="str">
        <f t="shared" si="1"/>
        <v/>
      </c>
      <c r="I19" s="8"/>
      <c r="J19" s="8"/>
      <c r="K19" s="8"/>
      <c r="L19" s="8"/>
      <c r="M19" s="8"/>
      <c r="N19" s="8"/>
      <c r="O19" s="8"/>
      <c r="P19" s="9"/>
      <c r="Q19" s="8"/>
      <c r="R19" s="8"/>
      <c r="S19" s="8"/>
      <c r="T19" s="8"/>
      <c r="U19" s="8"/>
      <c r="V19" s="8"/>
      <c r="W19" s="8"/>
      <c r="X19" s="9"/>
      <c r="Y19" s="8"/>
      <c r="Z19" s="8"/>
      <c r="AA19" s="8"/>
      <c r="AB19" s="8"/>
      <c r="AC19" s="8"/>
      <c r="AD19" s="8"/>
      <c r="AE19" s="9"/>
      <c r="AF19" s="8"/>
      <c r="AG19" s="8"/>
      <c r="AH19" s="8"/>
      <c r="AI19" s="11" t="str">
        <f t="shared" si="2"/>
        <v/>
      </c>
      <c r="AJ19" s="11" t="str">
        <f t="shared" si="3"/>
        <v/>
      </c>
      <c r="AK19" s="11" t="str">
        <f t="shared" si="4"/>
        <v/>
      </c>
    </row>
    <row r="20" spans="1:37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IF(A20="","",IF(COUNTIF('05 - DEPENDENCIES'!$A$9:$A$58,A20)&gt;1,"DUPLICATE ID ","")&amp;IF(ReviewDate="","SET REVIEW DATE ","")&amp;IF(AND(C20="Closed",AI20="Unresolved"),"CLOSURE NOT EVIDENCED ","")&amp;IF(AND(AI20="Unresolved",R20&gt;=Misses),"REPEATED MISSED COMMITMENT ","")&amp;IF(AND(AI20="Unresolved",Q20="Low"),"LOW-CONFIDENCE FORECAST ","")&amp;IF(AND(AI20="Unresolved",W20&lt;&gt;"Yes"),"CONSUMER ACCEPTANCE MISSING ","")&amp;IF(AND(AI20="Unresolved",AK20&gt;0),"DEPENDENCY OVERDUE ","")&amp;IF(AND(AI20="Unresolved",E20=""),"DEADLINE MISSING ",""))</f>
        <v/>
      </c>
      <c r="H20" s="11" t="str">
        <f t="shared" si="1"/>
        <v/>
      </c>
      <c r="I20" s="8"/>
      <c r="J20" s="8"/>
      <c r="K20" s="8"/>
      <c r="L20" s="8"/>
      <c r="M20" s="8"/>
      <c r="N20" s="8"/>
      <c r="O20" s="8"/>
      <c r="P20" s="9"/>
      <c r="Q20" s="8"/>
      <c r="R20" s="8"/>
      <c r="S20" s="8"/>
      <c r="T20" s="8"/>
      <c r="U20" s="8"/>
      <c r="V20" s="8"/>
      <c r="W20" s="8"/>
      <c r="X20" s="9"/>
      <c r="Y20" s="8"/>
      <c r="Z20" s="8"/>
      <c r="AA20" s="8"/>
      <c r="AB20" s="8"/>
      <c r="AC20" s="8"/>
      <c r="AD20" s="8"/>
      <c r="AE20" s="9"/>
      <c r="AF20" s="8"/>
      <c r="AG20" s="8"/>
      <c r="AH20" s="8"/>
      <c r="AI20" s="11" t="str">
        <f t="shared" si="2"/>
        <v/>
      </c>
      <c r="AJ20" s="11" t="str">
        <f t="shared" si="3"/>
        <v/>
      </c>
      <c r="AK20" s="11" t="str">
        <f t="shared" si="4"/>
        <v/>
      </c>
    </row>
    <row r="21" spans="1:37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IF(A21="","",IF(COUNTIF('05 - DEPENDENCIES'!$A$9:$A$58,A21)&gt;1,"DUPLICATE ID ","")&amp;IF(ReviewDate="","SET REVIEW DATE ","")&amp;IF(AND(C21="Closed",AI21="Unresolved"),"CLOSURE NOT EVIDENCED ","")&amp;IF(AND(AI21="Unresolved",R21&gt;=Misses),"REPEATED MISSED COMMITMENT ","")&amp;IF(AND(AI21="Unresolved",Q21="Low"),"LOW-CONFIDENCE FORECAST ","")&amp;IF(AND(AI21="Unresolved",W21&lt;&gt;"Yes"),"CONSUMER ACCEPTANCE MISSING ","")&amp;IF(AND(AI21="Unresolved",AK21&gt;0),"DEPENDENCY OVERDUE ","")&amp;IF(AND(AI21="Unresolved",E21=""),"DEADLINE MISSING ",""))</f>
        <v/>
      </c>
      <c r="H21" s="11" t="str">
        <f t="shared" si="1"/>
        <v/>
      </c>
      <c r="I21" s="8"/>
      <c r="J21" s="8"/>
      <c r="K21" s="8"/>
      <c r="L21" s="8"/>
      <c r="M21" s="8"/>
      <c r="N21" s="8"/>
      <c r="O21" s="8"/>
      <c r="P21" s="9"/>
      <c r="Q21" s="8"/>
      <c r="R21" s="8"/>
      <c r="S21" s="8"/>
      <c r="T21" s="8"/>
      <c r="U21" s="8"/>
      <c r="V21" s="8"/>
      <c r="W21" s="8"/>
      <c r="X21" s="9"/>
      <c r="Y21" s="8"/>
      <c r="Z21" s="8"/>
      <c r="AA21" s="8"/>
      <c r="AB21" s="8"/>
      <c r="AC21" s="8"/>
      <c r="AD21" s="8"/>
      <c r="AE21" s="9"/>
      <c r="AF21" s="8"/>
      <c r="AG21" s="8"/>
      <c r="AH21" s="8"/>
      <c r="AI21" s="11" t="str">
        <f t="shared" si="2"/>
        <v/>
      </c>
      <c r="AJ21" s="11" t="str">
        <f t="shared" si="3"/>
        <v/>
      </c>
      <c r="AK21" s="11" t="str">
        <f t="shared" si="4"/>
        <v/>
      </c>
    </row>
    <row r="22" spans="1:37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IF(A22="","",IF(COUNTIF('05 - DEPENDENCIES'!$A$9:$A$58,A22)&gt;1,"DUPLICATE ID ","")&amp;IF(ReviewDate="","SET REVIEW DATE ","")&amp;IF(AND(C22="Closed",AI22="Unresolved"),"CLOSURE NOT EVIDENCED ","")&amp;IF(AND(AI22="Unresolved",R22&gt;=Misses),"REPEATED MISSED COMMITMENT ","")&amp;IF(AND(AI22="Unresolved",Q22="Low"),"LOW-CONFIDENCE FORECAST ","")&amp;IF(AND(AI22="Unresolved",W22&lt;&gt;"Yes"),"CONSUMER ACCEPTANCE MISSING ","")&amp;IF(AND(AI22="Unresolved",AK22&gt;0),"DEPENDENCY OVERDUE ","")&amp;IF(AND(AI22="Unresolved",E22=""),"DEADLINE MISSING ",""))</f>
        <v/>
      </c>
      <c r="H22" s="11" t="str">
        <f t="shared" si="1"/>
        <v/>
      </c>
      <c r="I22" s="8"/>
      <c r="J22" s="8"/>
      <c r="K22" s="8"/>
      <c r="L22" s="8"/>
      <c r="M22" s="8"/>
      <c r="N22" s="8"/>
      <c r="O22" s="8"/>
      <c r="P22" s="9"/>
      <c r="Q22" s="8"/>
      <c r="R22" s="8"/>
      <c r="S22" s="8"/>
      <c r="T22" s="8"/>
      <c r="U22" s="8"/>
      <c r="V22" s="8"/>
      <c r="W22" s="8"/>
      <c r="X22" s="9"/>
      <c r="Y22" s="8"/>
      <c r="Z22" s="8"/>
      <c r="AA22" s="8"/>
      <c r="AB22" s="8"/>
      <c r="AC22" s="8"/>
      <c r="AD22" s="8"/>
      <c r="AE22" s="9"/>
      <c r="AF22" s="8"/>
      <c r="AG22" s="8"/>
      <c r="AH22" s="8"/>
      <c r="AI22" s="11" t="str">
        <f t="shared" si="2"/>
        <v/>
      </c>
      <c r="AJ22" s="11" t="str">
        <f t="shared" si="3"/>
        <v/>
      </c>
      <c r="AK22" s="11" t="str">
        <f t="shared" si="4"/>
        <v/>
      </c>
    </row>
    <row r="23" spans="1:37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IF(A23="","",IF(COUNTIF('05 - DEPENDENCIES'!$A$9:$A$58,A23)&gt;1,"DUPLICATE ID ","")&amp;IF(ReviewDate="","SET REVIEW DATE ","")&amp;IF(AND(C23="Closed",AI23="Unresolved"),"CLOSURE NOT EVIDENCED ","")&amp;IF(AND(AI23="Unresolved",R23&gt;=Misses),"REPEATED MISSED COMMITMENT ","")&amp;IF(AND(AI23="Unresolved",Q23="Low"),"LOW-CONFIDENCE FORECAST ","")&amp;IF(AND(AI23="Unresolved",W23&lt;&gt;"Yes"),"CONSUMER ACCEPTANCE MISSING ","")&amp;IF(AND(AI23="Unresolved",AK23&gt;0),"DEPENDENCY OVERDUE ","")&amp;IF(AND(AI23="Unresolved",E23=""),"DEADLINE MISSING ",""))</f>
        <v/>
      </c>
      <c r="H23" s="11" t="str">
        <f t="shared" si="1"/>
        <v/>
      </c>
      <c r="I23" s="8"/>
      <c r="J23" s="8"/>
      <c r="K23" s="8"/>
      <c r="L23" s="8"/>
      <c r="M23" s="8"/>
      <c r="N23" s="8"/>
      <c r="O23" s="8"/>
      <c r="P23" s="9"/>
      <c r="Q23" s="8"/>
      <c r="R23" s="8"/>
      <c r="S23" s="8"/>
      <c r="T23" s="8"/>
      <c r="U23" s="8"/>
      <c r="V23" s="8"/>
      <c r="W23" s="8"/>
      <c r="X23" s="9"/>
      <c r="Y23" s="8"/>
      <c r="Z23" s="8"/>
      <c r="AA23" s="8"/>
      <c r="AB23" s="8"/>
      <c r="AC23" s="8"/>
      <c r="AD23" s="8"/>
      <c r="AE23" s="9"/>
      <c r="AF23" s="8"/>
      <c r="AG23" s="8"/>
      <c r="AH23" s="8"/>
      <c r="AI23" s="11" t="str">
        <f t="shared" si="2"/>
        <v/>
      </c>
      <c r="AJ23" s="11" t="str">
        <f t="shared" si="3"/>
        <v/>
      </c>
      <c r="AK23" s="11" t="str">
        <f t="shared" si="4"/>
        <v/>
      </c>
    </row>
    <row r="24" spans="1:37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IF(A24="","",IF(COUNTIF('05 - DEPENDENCIES'!$A$9:$A$58,A24)&gt;1,"DUPLICATE ID ","")&amp;IF(ReviewDate="","SET REVIEW DATE ","")&amp;IF(AND(C24="Closed",AI24="Unresolved"),"CLOSURE NOT EVIDENCED ","")&amp;IF(AND(AI24="Unresolved",R24&gt;=Misses),"REPEATED MISSED COMMITMENT ","")&amp;IF(AND(AI24="Unresolved",Q24="Low"),"LOW-CONFIDENCE FORECAST ","")&amp;IF(AND(AI24="Unresolved",W24&lt;&gt;"Yes"),"CONSUMER ACCEPTANCE MISSING ","")&amp;IF(AND(AI24="Unresolved",AK24&gt;0),"DEPENDENCY OVERDUE ","")&amp;IF(AND(AI24="Unresolved",E24=""),"DEADLINE MISSING ",""))</f>
        <v/>
      </c>
      <c r="H24" s="11" t="str">
        <f t="shared" si="1"/>
        <v/>
      </c>
      <c r="I24" s="8"/>
      <c r="J24" s="8"/>
      <c r="K24" s="8"/>
      <c r="L24" s="8"/>
      <c r="M24" s="8"/>
      <c r="N24" s="8"/>
      <c r="O24" s="8"/>
      <c r="P24" s="9"/>
      <c r="Q24" s="8"/>
      <c r="R24" s="8"/>
      <c r="S24" s="8"/>
      <c r="T24" s="8"/>
      <c r="U24" s="8"/>
      <c r="V24" s="8"/>
      <c r="W24" s="8"/>
      <c r="X24" s="9"/>
      <c r="Y24" s="8"/>
      <c r="Z24" s="8"/>
      <c r="AA24" s="8"/>
      <c r="AB24" s="8"/>
      <c r="AC24" s="8"/>
      <c r="AD24" s="8"/>
      <c r="AE24" s="9"/>
      <c r="AF24" s="8"/>
      <c r="AG24" s="8"/>
      <c r="AH24" s="8"/>
      <c r="AI24" s="11" t="str">
        <f t="shared" si="2"/>
        <v/>
      </c>
      <c r="AJ24" s="11" t="str">
        <f t="shared" si="3"/>
        <v/>
      </c>
      <c r="AK24" s="11" t="str">
        <f t="shared" si="4"/>
        <v/>
      </c>
    </row>
    <row r="25" spans="1:37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IF(A25="","",IF(COUNTIF('05 - DEPENDENCIES'!$A$9:$A$58,A25)&gt;1,"DUPLICATE ID ","")&amp;IF(ReviewDate="","SET REVIEW DATE ","")&amp;IF(AND(C25="Closed",AI25="Unresolved"),"CLOSURE NOT EVIDENCED ","")&amp;IF(AND(AI25="Unresolved",R25&gt;=Misses),"REPEATED MISSED COMMITMENT ","")&amp;IF(AND(AI25="Unresolved",Q25="Low"),"LOW-CONFIDENCE FORECAST ","")&amp;IF(AND(AI25="Unresolved",W25&lt;&gt;"Yes"),"CONSUMER ACCEPTANCE MISSING ","")&amp;IF(AND(AI25="Unresolved",AK25&gt;0),"DEPENDENCY OVERDUE ","")&amp;IF(AND(AI25="Unresolved",E25=""),"DEADLINE MISSING ",""))</f>
        <v/>
      </c>
      <c r="H25" s="11" t="str">
        <f t="shared" si="1"/>
        <v/>
      </c>
      <c r="I25" s="8"/>
      <c r="J25" s="8"/>
      <c r="K25" s="8"/>
      <c r="L25" s="8"/>
      <c r="M25" s="8"/>
      <c r="N25" s="8"/>
      <c r="O25" s="8"/>
      <c r="P25" s="9"/>
      <c r="Q25" s="8"/>
      <c r="R25" s="8"/>
      <c r="S25" s="8"/>
      <c r="T25" s="8"/>
      <c r="U25" s="8"/>
      <c r="V25" s="8"/>
      <c r="W25" s="8"/>
      <c r="X25" s="9"/>
      <c r="Y25" s="8"/>
      <c r="Z25" s="8"/>
      <c r="AA25" s="8"/>
      <c r="AB25" s="8"/>
      <c r="AC25" s="8"/>
      <c r="AD25" s="8"/>
      <c r="AE25" s="9"/>
      <c r="AF25" s="8"/>
      <c r="AG25" s="8"/>
      <c r="AH25" s="8"/>
      <c r="AI25" s="11" t="str">
        <f t="shared" si="2"/>
        <v/>
      </c>
      <c r="AJ25" s="11" t="str">
        <f t="shared" si="3"/>
        <v/>
      </c>
      <c r="AK25" s="11" t="str">
        <f t="shared" si="4"/>
        <v/>
      </c>
    </row>
    <row r="26" spans="1:37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IF(A26="","",IF(COUNTIF('05 - DEPENDENCIES'!$A$9:$A$58,A26)&gt;1,"DUPLICATE ID ","")&amp;IF(ReviewDate="","SET REVIEW DATE ","")&amp;IF(AND(C26="Closed",AI26="Unresolved"),"CLOSURE NOT EVIDENCED ","")&amp;IF(AND(AI26="Unresolved",R26&gt;=Misses),"REPEATED MISSED COMMITMENT ","")&amp;IF(AND(AI26="Unresolved",Q26="Low"),"LOW-CONFIDENCE FORECAST ","")&amp;IF(AND(AI26="Unresolved",W26&lt;&gt;"Yes"),"CONSUMER ACCEPTANCE MISSING ","")&amp;IF(AND(AI26="Unresolved",AK26&gt;0),"DEPENDENCY OVERDUE ","")&amp;IF(AND(AI26="Unresolved",E26=""),"DEADLINE MISSING ",""))</f>
        <v/>
      </c>
      <c r="H26" s="11" t="str">
        <f t="shared" si="1"/>
        <v/>
      </c>
      <c r="I26" s="8"/>
      <c r="J26" s="8"/>
      <c r="K26" s="8"/>
      <c r="L26" s="8"/>
      <c r="M26" s="8"/>
      <c r="N26" s="8"/>
      <c r="O26" s="8"/>
      <c r="P26" s="9"/>
      <c r="Q26" s="8"/>
      <c r="R26" s="8"/>
      <c r="S26" s="8"/>
      <c r="T26" s="8"/>
      <c r="U26" s="8"/>
      <c r="V26" s="8"/>
      <c r="W26" s="8"/>
      <c r="X26" s="9"/>
      <c r="Y26" s="8"/>
      <c r="Z26" s="8"/>
      <c r="AA26" s="8"/>
      <c r="AB26" s="8"/>
      <c r="AC26" s="8"/>
      <c r="AD26" s="8"/>
      <c r="AE26" s="9"/>
      <c r="AF26" s="8"/>
      <c r="AG26" s="8"/>
      <c r="AH26" s="8"/>
      <c r="AI26" s="11" t="str">
        <f t="shared" si="2"/>
        <v/>
      </c>
      <c r="AJ26" s="11" t="str">
        <f t="shared" si="3"/>
        <v/>
      </c>
      <c r="AK26" s="11" t="str">
        <f t="shared" si="4"/>
        <v/>
      </c>
    </row>
    <row r="27" spans="1:37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IF(A27="","",IF(COUNTIF('05 - DEPENDENCIES'!$A$9:$A$58,A27)&gt;1,"DUPLICATE ID ","")&amp;IF(ReviewDate="","SET REVIEW DATE ","")&amp;IF(AND(C27="Closed",AI27="Unresolved"),"CLOSURE NOT EVIDENCED ","")&amp;IF(AND(AI27="Unresolved",R27&gt;=Misses),"REPEATED MISSED COMMITMENT ","")&amp;IF(AND(AI27="Unresolved",Q27="Low"),"LOW-CONFIDENCE FORECAST ","")&amp;IF(AND(AI27="Unresolved",W27&lt;&gt;"Yes"),"CONSUMER ACCEPTANCE MISSING ","")&amp;IF(AND(AI27="Unresolved",AK27&gt;0),"DEPENDENCY OVERDUE ","")&amp;IF(AND(AI27="Unresolved",E27=""),"DEADLINE MISSING ",""))</f>
        <v/>
      </c>
      <c r="H27" s="11" t="str">
        <f t="shared" si="1"/>
        <v/>
      </c>
      <c r="I27" s="8"/>
      <c r="J27" s="8"/>
      <c r="K27" s="8"/>
      <c r="L27" s="8"/>
      <c r="M27" s="8"/>
      <c r="N27" s="8"/>
      <c r="O27" s="8"/>
      <c r="P27" s="9"/>
      <c r="Q27" s="8"/>
      <c r="R27" s="8"/>
      <c r="S27" s="8"/>
      <c r="T27" s="8"/>
      <c r="U27" s="8"/>
      <c r="V27" s="8"/>
      <c r="W27" s="8"/>
      <c r="X27" s="9"/>
      <c r="Y27" s="8"/>
      <c r="Z27" s="8"/>
      <c r="AA27" s="8"/>
      <c r="AB27" s="8"/>
      <c r="AC27" s="8"/>
      <c r="AD27" s="8"/>
      <c r="AE27" s="9"/>
      <c r="AF27" s="8"/>
      <c r="AG27" s="8"/>
      <c r="AH27" s="8"/>
      <c r="AI27" s="11" t="str">
        <f t="shared" si="2"/>
        <v/>
      </c>
      <c r="AJ27" s="11" t="str">
        <f t="shared" si="3"/>
        <v/>
      </c>
      <c r="AK27" s="11" t="str">
        <f t="shared" si="4"/>
        <v/>
      </c>
    </row>
    <row r="28" spans="1:37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IF(A28="","",IF(COUNTIF('05 - DEPENDENCIES'!$A$9:$A$58,A28)&gt;1,"DUPLICATE ID ","")&amp;IF(ReviewDate="","SET REVIEW DATE ","")&amp;IF(AND(C28="Closed",AI28="Unresolved"),"CLOSURE NOT EVIDENCED ","")&amp;IF(AND(AI28="Unresolved",R28&gt;=Misses),"REPEATED MISSED COMMITMENT ","")&amp;IF(AND(AI28="Unresolved",Q28="Low"),"LOW-CONFIDENCE FORECAST ","")&amp;IF(AND(AI28="Unresolved",W28&lt;&gt;"Yes"),"CONSUMER ACCEPTANCE MISSING ","")&amp;IF(AND(AI28="Unresolved",AK28&gt;0),"DEPENDENCY OVERDUE ","")&amp;IF(AND(AI28="Unresolved",E28=""),"DEADLINE MISSING ",""))</f>
        <v/>
      </c>
      <c r="H28" s="11" t="str">
        <f t="shared" si="1"/>
        <v/>
      </c>
      <c r="I28" s="8"/>
      <c r="J28" s="8"/>
      <c r="K28" s="8"/>
      <c r="L28" s="8"/>
      <c r="M28" s="8"/>
      <c r="N28" s="8"/>
      <c r="O28" s="8"/>
      <c r="P28" s="9"/>
      <c r="Q28" s="8"/>
      <c r="R28" s="8"/>
      <c r="S28" s="8"/>
      <c r="T28" s="8"/>
      <c r="U28" s="8"/>
      <c r="V28" s="8"/>
      <c r="W28" s="8"/>
      <c r="X28" s="9"/>
      <c r="Y28" s="8"/>
      <c r="Z28" s="8"/>
      <c r="AA28" s="8"/>
      <c r="AB28" s="8"/>
      <c r="AC28" s="8"/>
      <c r="AD28" s="8"/>
      <c r="AE28" s="9"/>
      <c r="AF28" s="8"/>
      <c r="AG28" s="8"/>
      <c r="AH28" s="8"/>
      <c r="AI28" s="11" t="str">
        <f t="shared" si="2"/>
        <v/>
      </c>
      <c r="AJ28" s="11" t="str">
        <f t="shared" si="3"/>
        <v/>
      </c>
      <c r="AK28" s="11" t="str">
        <f t="shared" si="4"/>
        <v/>
      </c>
    </row>
    <row r="29" spans="1:37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IF(A29="","",IF(COUNTIF('05 - DEPENDENCIES'!$A$9:$A$58,A29)&gt;1,"DUPLICATE ID ","")&amp;IF(ReviewDate="","SET REVIEW DATE ","")&amp;IF(AND(C29="Closed",AI29="Unresolved"),"CLOSURE NOT EVIDENCED ","")&amp;IF(AND(AI29="Unresolved",R29&gt;=Misses),"REPEATED MISSED COMMITMENT ","")&amp;IF(AND(AI29="Unresolved",Q29="Low"),"LOW-CONFIDENCE FORECAST ","")&amp;IF(AND(AI29="Unresolved",W29&lt;&gt;"Yes"),"CONSUMER ACCEPTANCE MISSING ","")&amp;IF(AND(AI29="Unresolved",AK29&gt;0),"DEPENDENCY OVERDUE ","")&amp;IF(AND(AI29="Unresolved",E29=""),"DEADLINE MISSING ",""))</f>
        <v/>
      </c>
      <c r="H29" s="11" t="str">
        <f t="shared" si="1"/>
        <v/>
      </c>
      <c r="I29" s="8"/>
      <c r="J29" s="8"/>
      <c r="K29" s="8"/>
      <c r="L29" s="8"/>
      <c r="M29" s="8"/>
      <c r="N29" s="8"/>
      <c r="O29" s="8"/>
      <c r="P29" s="9"/>
      <c r="Q29" s="8"/>
      <c r="R29" s="8"/>
      <c r="S29" s="8"/>
      <c r="T29" s="8"/>
      <c r="U29" s="8"/>
      <c r="V29" s="8"/>
      <c r="W29" s="8"/>
      <c r="X29" s="9"/>
      <c r="Y29" s="8"/>
      <c r="Z29" s="8"/>
      <c r="AA29" s="8"/>
      <c r="AB29" s="8"/>
      <c r="AC29" s="8"/>
      <c r="AD29" s="8"/>
      <c r="AE29" s="9"/>
      <c r="AF29" s="8"/>
      <c r="AG29" s="8"/>
      <c r="AH29" s="8"/>
      <c r="AI29" s="11" t="str">
        <f t="shared" si="2"/>
        <v/>
      </c>
      <c r="AJ29" s="11" t="str">
        <f t="shared" si="3"/>
        <v/>
      </c>
      <c r="AK29" s="11" t="str">
        <f t="shared" si="4"/>
        <v/>
      </c>
    </row>
    <row r="30" spans="1:37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IF(A30="","",IF(COUNTIF('05 - DEPENDENCIES'!$A$9:$A$58,A30)&gt;1,"DUPLICATE ID ","")&amp;IF(ReviewDate="","SET REVIEW DATE ","")&amp;IF(AND(C30="Closed",AI30="Unresolved"),"CLOSURE NOT EVIDENCED ","")&amp;IF(AND(AI30="Unresolved",R30&gt;=Misses),"REPEATED MISSED COMMITMENT ","")&amp;IF(AND(AI30="Unresolved",Q30="Low"),"LOW-CONFIDENCE FORECAST ","")&amp;IF(AND(AI30="Unresolved",W30&lt;&gt;"Yes"),"CONSUMER ACCEPTANCE MISSING ","")&amp;IF(AND(AI30="Unresolved",AK30&gt;0),"DEPENDENCY OVERDUE ","")&amp;IF(AND(AI30="Unresolved",E30=""),"DEADLINE MISSING ",""))</f>
        <v/>
      </c>
      <c r="H30" s="11" t="str">
        <f t="shared" si="1"/>
        <v/>
      </c>
      <c r="I30" s="8"/>
      <c r="J30" s="8"/>
      <c r="K30" s="8"/>
      <c r="L30" s="8"/>
      <c r="M30" s="8"/>
      <c r="N30" s="8"/>
      <c r="O30" s="8"/>
      <c r="P30" s="9"/>
      <c r="Q30" s="8"/>
      <c r="R30" s="8"/>
      <c r="S30" s="8"/>
      <c r="T30" s="8"/>
      <c r="U30" s="8"/>
      <c r="V30" s="8"/>
      <c r="W30" s="8"/>
      <c r="X30" s="9"/>
      <c r="Y30" s="8"/>
      <c r="Z30" s="8"/>
      <c r="AA30" s="8"/>
      <c r="AB30" s="8"/>
      <c r="AC30" s="8"/>
      <c r="AD30" s="8"/>
      <c r="AE30" s="9"/>
      <c r="AF30" s="8"/>
      <c r="AG30" s="8"/>
      <c r="AH30" s="8"/>
      <c r="AI30" s="11" t="str">
        <f t="shared" si="2"/>
        <v/>
      </c>
      <c r="AJ30" s="11" t="str">
        <f t="shared" si="3"/>
        <v/>
      </c>
      <c r="AK30" s="11" t="str">
        <f t="shared" si="4"/>
        <v/>
      </c>
    </row>
    <row r="31" spans="1:37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IF(A31="","",IF(COUNTIF('05 - DEPENDENCIES'!$A$9:$A$58,A31)&gt;1,"DUPLICATE ID ","")&amp;IF(ReviewDate="","SET REVIEW DATE ","")&amp;IF(AND(C31="Closed",AI31="Unresolved"),"CLOSURE NOT EVIDENCED ","")&amp;IF(AND(AI31="Unresolved",R31&gt;=Misses),"REPEATED MISSED COMMITMENT ","")&amp;IF(AND(AI31="Unresolved",Q31="Low"),"LOW-CONFIDENCE FORECAST ","")&amp;IF(AND(AI31="Unresolved",W31&lt;&gt;"Yes"),"CONSUMER ACCEPTANCE MISSING ","")&amp;IF(AND(AI31="Unresolved",AK31&gt;0),"DEPENDENCY OVERDUE ","")&amp;IF(AND(AI31="Unresolved",E31=""),"DEADLINE MISSING ",""))</f>
        <v/>
      </c>
      <c r="H31" s="11" t="str">
        <f t="shared" si="1"/>
        <v/>
      </c>
      <c r="I31" s="8"/>
      <c r="J31" s="8"/>
      <c r="K31" s="8"/>
      <c r="L31" s="8"/>
      <c r="M31" s="8"/>
      <c r="N31" s="8"/>
      <c r="O31" s="8"/>
      <c r="P31" s="9"/>
      <c r="Q31" s="8"/>
      <c r="R31" s="8"/>
      <c r="S31" s="8"/>
      <c r="T31" s="8"/>
      <c r="U31" s="8"/>
      <c r="V31" s="8"/>
      <c r="W31" s="8"/>
      <c r="X31" s="9"/>
      <c r="Y31" s="8"/>
      <c r="Z31" s="8"/>
      <c r="AA31" s="8"/>
      <c r="AB31" s="8"/>
      <c r="AC31" s="8"/>
      <c r="AD31" s="8"/>
      <c r="AE31" s="9"/>
      <c r="AF31" s="8"/>
      <c r="AG31" s="8"/>
      <c r="AH31" s="8"/>
      <c r="AI31" s="11" t="str">
        <f t="shared" si="2"/>
        <v/>
      </c>
      <c r="AJ31" s="11" t="str">
        <f t="shared" si="3"/>
        <v/>
      </c>
      <c r="AK31" s="11" t="str">
        <f t="shared" si="4"/>
        <v/>
      </c>
    </row>
    <row r="32" spans="1:37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IF(A32="","",IF(COUNTIF('05 - DEPENDENCIES'!$A$9:$A$58,A32)&gt;1,"DUPLICATE ID ","")&amp;IF(ReviewDate="","SET REVIEW DATE ","")&amp;IF(AND(C32="Closed",AI32="Unresolved"),"CLOSURE NOT EVIDENCED ","")&amp;IF(AND(AI32="Unresolved",R32&gt;=Misses),"REPEATED MISSED COMMITMENT ","")&amp;IF(AND(AI32="Unresolved",Q32="Low"),"LOW-CONFIDENCE FORECAST ","")&amp;IF(AND(AI32="Unresolved",W32&lt;&gt;"Yes"),"CONSUMER ACCEPTANCE MISSING ","")&amp;IF(AND(AI32="Unresolved",AK32&gt;0),"DEPENDENCY OVERDUE ","")&amp;IF(AND(AI32="Unresolved",E32=""),"DEADLINE MISSING ",""))</f>
        <v/>
      </c>
      <c r="H32" s="11" t="str">
        <f t="shared" si="1"/>
        <v/>
      </c>
      <c r="I32" s="8"/>
      <c r="J32" s="8"/>
      <c r="K32" s="8"/>
      <c r="L32" s="8"/>
      <c r="M32" s="8"/>
      <c r="N32" s="8"/>
      <c r="O32" s="8"/>
      <c r="P32" s="9"/>
      <c r="Q32" s="8"/>
      <c r="R32" s="8"/>
      <c r="S32" s="8"/>
      <c r="T32" s="8"/>
      <c r="U32" s="8"/>
      <c r="V32" s="8"/>
      <c r="W32" s="8"/>
      <c r="X32" s="9"/>
      <c r="Y32" s="8"/>
      <c r="Z32" s="8"/>
      <c r="AA32" s="8"/>
      <c r="AB32" s="8"/>
      <c r="AC32" s="8"/>
      <c r="AD32" s="8"/>
      <c r="AE32" s="9"/>
      <c r="AF32" s="8"/>
      <c r="AG32" s="8"/>
      <c r="AH32" s="8"/>
      <c r="AI32" s="11" t="str">
        <f t="shared" si="2"/>
        <v/>
      </c>
      <c r="AJ32" s="11" t="str">
        <f t="shared" si="3"/>
        <v/>
      </c>
      <c r="AK32" s="11" t="str">
        <f t="shared" si="4"/>
        <v/>
      </c>
    </row>
    <row r="33" spans="1:37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IF(A33="","",IF(COUNTIF('05 - DEPENDENCIES'!$A$9:$A$58,A33)&gt;1,"DUPLICATE ID ","")&amp;IF(ReviewDate="","SET REVIEW DATE ","")&amp;IF(AND(C33="Closed",AI33="Unresolved"),"CLOSURE NOT EVIDENCED ","")&amp;IF(AND(AI33="Unresolved",R33&gt;=Misses),"REPEATED MISSED COMMITMENT ","")&amp;IF(AND(AI33="Unresolved",Q33="Low"),"LOW-CONFIDENCE FORECAST ","")&amp;IF(AND(AI33="Unresolved",W33&lt;&gt;"Yes"),"CONSUMER ACCEPTANCE MISSING ","")&amp;IF(AND(AI33="Unresolved",AK33&gt;0),"DEPENDENCY OVERDUE ","")&amp;IF(AND(AI33="Unresolved",E33=""),"DEADLINE MISSING ",""))</f>
        <v/>
      </c>
      <c r="H33" s="11" t="str">
        <f t="shared" si="1"/>
        <v/>
      </c>
      <c r="I33" s="8"/>
      <c r="J33" s="8"/>
      <c r="K33" s="8"/>
      <c r="L33" s="8"/>
      <c r="M33" s="8"/>
      <c r="N33" s="8"/>
      <c r="O33" s="8"/>
      <c r="P33" s="9"/>
      <c r="Q33" s="8"/>
      <c r="R33" s="8"/>
      <c r="S33" s="8"/>
      <c r="T33" s="8"/>
      <c r="U33" s="8"/>
      <c r="V33" s="8"/>
      <c r="W33" s="8"/>
      <c r="X33" s="9"/>
      <c r="Y33" s="8"/>
      <c r="Z33" s="8"/>
      <c r="AA33" s="8"/>
      <c r="AB33" s="8"/>
      <c r="AC33" s="8"/>
      <c r="AD33" s="8"/>
      <c r="AE33" s="9"/>
      <c r="AF33" s="8"/>
      <c r="AG33" s="8"/>
      <c r="AH33" s="8"/>
      <c r="AI33" s="11" t="str">
        <f t="shared" si="2"/>
        <v/>
      </c>
      <c r="AJ33" s="11" t="str">
        <f t="shared" si="3"/>
        <v/>
      </c>
      <c r="AK33" s="11" t="str">
        <f t="shared" si="4"/>
        <v/>
      </c>
    </row>
    <row r="34" spans="1:37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IF(A34="","",IF(COUNTIF('05 - DEPENDENCIES'!$A$9:$A$58,A34)&gt;1,"DUPLICATE ID ","")&amp;IF(ReviewDate="","SET REVIEW DATE ","")&amp;IF(AND(C34="Closed",AI34="Unresolved"),"CLOSURE NOT EVIDENCED ","")&amp;IF(AND(AI34="Unresolved",R34&gt;=Misses),"REPEATED MISSED COMMITMENT ","")&amp;IF(AND(AI34="Unresolved",Q34="Low"),"LOW-CONFIDENCE FORECAST ","")&amp;IF(AND(AI34="Unresolved",W34&lt;&gt;"Yes"),"CONSUMER ACCEPTANCE MISSING ","")&amp;IF(AND(AI34="Unresolved",AK34&gt;0),"DEPENDENCY OVERDUE ","")&amp;IF(AND(AI34="Unresolved",E34=""),"DEADLINE MISSING ",""))</f>
        <v/>
      </c>
      <c r="H34" s="11" t="str">
        <f t="shared" si="1"/>
        <v/>
      </c>
      <c r="I34" s="8"/>
      <c r="J34" s="8"/>
      <c r="K34" s="8"/>
      <c r="L34" s="8"/>
      <c r="M34" s="8"/>
      <c r="N34" s="8"/>
      <c r="O34" s="8"/>
      <c r="P34" s="9"/>
      <c r="Q34" s="8"/>
      <c r="R34" s="8"/>
      <c r="S34" s="8"/>
      <c r="T34" s="8"/>
      <c r="U34" s="8"/>
      <c r="V34" s="8"/>
      <c r="W34" s="8"/>
      <c r="X34" s="9"/>
      <c r="Y34" s="8"/>
      <c r="Z34" s="8"/>
      <c r="AA34" s="8"/>
      <c r="AB34" s="8"/>
      <c r="AC34" s="8"/>
      <c r="AD34" s="8"/>
      <c r="AE34" s="9"/>
      <c r="AF34" s="8"/>
      <c r="AG34" s="8"/>
      <c r="AH34" s="8"/>
      <c r="AI34" s="11" t="str">
        <f t="shared" si="2"/>
        <v/>
      </c>
      <c r="AJ34" s="11" t="str">
        <f t="shared" si="3"/>
        <v/>
      </c>
      <c r="AK34" s="11" t="str">
        <f t="shared" si="4"/>
        <v/>
      </c>
    </row>
    <row r="35" spans="1:37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IF(A35="","",IF(COUNTIF('05 - DEPENDENCIES'!$A$9:$A$58,A35)&gt;1,"DUPLICATE ID ","")&amp;IF(ReviewDate="","SET REVIEW DATE ","")&amp;IF(AND(C35="Closed",AI35="Unresolved"),"CLOSURE NOT EVIDENCED ","")&amp;IF(AND(AI35="Unresolved",R35&gt;=Misses),"REPEATED MISSED COMMITMENT ","")&amp;IF(AND(AI35="Unresolved",Q35="Low"),"LOW-CONFIDENCE FORECAST ","")&amp;IF(AND(AI35="Unresolved",W35&lt;&gt;"Yes"),"CONSUMER ACCEPTANCE MISSING ","")&amp;IF(AND(AI35="Unresolved",AK35&gt;0),"DEPENDENCY OVERDUE ","")&amp;IF(AND(AI35="Unresolved",E35=""),"DEADLINE MISSING ",""))</f>
        <v/>
      </c>
      <c r="H35" s="11" t="str">
        <f t="shared" si="1"/>
        <v/>
      </c>
      <c r="I35" s="8"/>
      <c r="J35" s="8"/>
      <c r="K35" s="8"/>
      <c r="L35" s="8"/>
      <c r="M35" s="8"/>
      <c r="N35" s="8"/>
      <c r="O35" s="8"/>
      <c r="P35" s="9"/>
      <c r="Q35" s="8"/>
      <c r="R35" s="8"/>
      <c r="S35" s="8"/>
      <c r="T35" s="8"/>
      <c r="U35" s="8"/>
      <c r="V35" s="8"/>
      <c r="W35" s="8"/>
      <c r="X35" s="9"/>
      <c r="Y35" s="8"/>
      <c r="Z35" s="8"/>
      <c r="AA35" s="8"/>
      <c r="AB35" s="8"/>
      <c r="AC35" s="8"/>
      <c r="AD35" s="8"/>
      <c r="AE35" s="9"/>
      <c r="AF35" s="8"/>
      <c r="AG35" s="8"/>
      <c r="AH35" s="8"/>
      <c r="AI35" s="11" t="str">
        <f t="shared" si="2"/>
        <v/>
      </c>
      <c r="AJ35" s="11" t="str">
        <f t="shared" si="3"/>
        <v/>
      </c>
      <c r="AK35" s="11" t="str">
        <f t="shared" si="4"/>
        <v/>
      </c>
    </row>
    <row r="36" spans="1:37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IF(A36="","",IF(COUNTIF('05 - DEPENDENCIES'!$A$9:$A$58,A36)&gt;1,"DUPLICATE ID ","")&amp;IF(ReviewDate="","SET REVIEW DATE ","")&amp;IF(AND(C36="Closed",AI36="Unresolved"),"CLOSURE NOT EVIDENCED ","")&amp;IF(AND(AI36="Unresolved",R36&gt;=Misses),"REPEATED MISSED COMMITMENT ","")&amp;IF(AND(AI36="Unresolved",Q36="Low"),"LOW-CONFIDENCE FORECAST ","")&amp;IF(AND(AI36="Unresolved",W36&lt;&gt;"Yes"),"CONSUMER ACCEPTANCE MISSING ","")&amp;IF(AND(AI36="Unresolved",AK36&gt;0),"DEPENDENCY OVERDUE ","")&amp;IF(AND(AI36="Unresolved",E36=""),"DEADLINE MISSING ",""))</f>
        <v/>
      </c>
      <c r="H36" s="11" t="str">
        <f t="shared" si="1"/>
        <v/>
      </c>
      <c r="I36" s="8"/>
      <c r="J36" s="8"/>
      <c r="K36" s="8"/>
      <c r="L36" s="8"/>
      <c r="M36" s="8"/>
      <c r="N36" s="8"/>
      <c r="O36" s="8"/>
      <c r="P36" s="9"/>
      <c r="Q36" s="8"/>
      <c r="R36" s="8"/>
      <c r="S36" s="8"/>
      <c r="T36" s="8"/>
      <c r="U36" s="8"/>
      <c r="V36" s="8"/>
      <c r="W36" s="8"/>
      <c r="X36" s="9"/>
      <c r="Y36" s="8"/>
      <c r="Z36" s="8"/>
      <c r="AA36" s="8"/>
      <c r="AB36" s="8"/>
      <c r="AC36" s="8"/>
      <c r="AD36" s="8"/>
      <c r="AE36" s="9"/>
      <c r="AF36" s="8"/>
      <c r="AG36" s="8"/>
      <c r="AH36" s="8"/>
      <c r="AI36" s="11" t="str">
        <f t="shared" si="2"/>
        <v/>
      </c>
      <c r="AJ36" s="11" t="str">
        <f t="shared" si="3"/>
        <v/>
      </c>
      <c r="AK36" s="11" t="str">
        <f t="shared" si="4"/>
        <v/>
      </c>
    </row>
    <row r="37" spans="1:37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IF(A37="","",IF(COUNTIF('05 - DEPENDENCIES'!$A$9:$A$58,A37)&gt;1,"DUPLICATE ID ","")&amp;IF(ReviewDate="","SET REVIEW DATE ","")&amp;IF(AND(C37="Closed",AI37="Unresolved"),"CLOSURE NOT EVIDENCED ","")&amp;IF(AND(AI37="Unresolved",R37&gt;=Misses),"REPEATED MISSED COMMITMENT ","")&amp;IF(AND(AI37="Unresolved",Q37="Low"),"LOW-CONFIDENCE FORECAST ","")&amp;IF(AND(AI37="Unresolved",W37&lt;&gt;"Yes"),"CONSUMER ACCEPTANCE MISSING ","")&amp;IF(AND(AI37="Unresolved",AK37&gt;0),"DEPENDENCY OVERDUE ","")&amp;IF(AND(AI37="Unresolved",E37=""),"DEADLINE MISSING ",""))</f>
        <v/>
      </c>
      <c r="H37" s="11" t="str">
        <f t="shared" si="1"/>
        <v/>
      </c>
      <c r="I37" s="8"/>
      <c r="J37" s="8"/>
      <c r="K37" s="8"/>
      <c r="L37" s="8"/>
      <c r="M37" s="8"/>
      <c r="N37" s="8"/>
      <c r="O37" s="8"/>
      <c r="P37" s="9"/>
      <c r="Q37" s="8"/>
      <c r="R37" s="8"/>
      <c r="S37" s="8"/>
      <c r="T37" s="8"/>
      <c r="U37" s="8"/>
      <c r="V37" s="8"/>
      <c r="W37" s="8"/>
      <c r="X37" s="9"/>
      <c r="Y37" s="8"/>
      <c r="Z37" s="8"/>
      <c r="AA37" s="8"/>
      <c r="AB37" s="8"/>
      <c r="AC37" s="8"/>
      <c r="AD37" s="8"/>
      <c r="AE37" s="9"/>
      <c r="AF37" s="8"/>
      <c r="AG37" s="8"/>
      <c r="AH37" s="8"/>
      <c r="AI37" s="11" t="str">
        <f t="shared" si="2"/>
        <v/>
      </c>
      <c r="AJ37" s="11" t="str">
        <f t="shared" si="3"/>
        <v/>
      </c>
      <c r="AK37" s="11" t="str">
        <f t="shared" si="4"/>
        <v/>
      </c>
    </row>
    <row r="38" spans="1:37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IF(A38="","",IF(COUNTIF('05 - DEPENDENCIES'!$A$9:$A$58,A38)&gt;1,"DUPLICATE ID ","")&amp;IF(ReviewDate="","SET REVIEW DATE ","")&amp;IF(AND(C38="Closed",AI38="Unresolved"),"CLOSURE NOT EVIDENCED ","")&amp;IF(AND(AI38="Unresolved",R38&gt;=Misses),"REPEATED MISSED COMMITMENT ","")&amp;IF(AND(AI38="Unresolved",Q38="Low"),"LOW-CONFIDENCE FORECAST ","")&amp;IF(AND(AI38="Unresolved",W38&lt;&gt;"Yes"),"CONSUMER ACCEPTANCE MISSING ","")&amp;IF(AND(AI38="Unresolved",AK38&gt;0),"DEPENDENCY OVERDUE ","")&amp;IF(AND(AI38="Unresolved",E38=""),"DEADLINE MISSING ",""))</f>
        <v/>
      </c>
      <c r="H38" s="11" t="str">
        <f t="shared" si="1"/>
        <v/>
      </c>
      <c r="I38" s="8"/>
      <c r="J38" s="8"/>
      <c r="K38" s="8"/>
      <c r="L38" s="8"/>
      <c r="M38" s="8"/>
      <c r="N38" s="8"/>
      <c r="O38" s="8"/>
      <c r="P38" s="9"/>
      <c r="Q38" s="8"/>
      <c r="R38" s="8"/>
      <c r="S38" s="8"/>
      <c r="T38" s="8"/>
      <c r="U38" s="8"/>
      <c r="V38" s="8"/>
      <c r="W38" s="8"/>
      <c r="X38" s="9"/>
      <c r="Y38" s="8"/>
      <c r="Z38" s="8"/>
      <c r="AA38" s="8"/>
      <c r="AB38" s="8"/>
      <c r="AC38" s="8"/>
      <c r="AD38" s="8"/>
      <c r="AE38" s="9"/>
      <c r="AF38" s="8"/>
      <c r="AG38" s="8"/>
      <c r="AH38" s="8"/>
      <c r="AI38" s="11" t="str">
        <f t="shared" si="2"/>
        <v/>
      </c>
      <c r="AJ38" s="11" t="str">
        <f t="shared" si="3"/>
        <v/>
      </c>
      <c r="AK38" s="11" t="str">
        <f t="shared" si="4"/>
        <v/>
      </c>
    </row>
    <row r="39" spans="1:37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IF(A39="","",IF(COUNTIF('05 - DEPENDENCIES'!$A$9:$A$58,A39)&gt;1,"DUPLICATE ID ","")&amp;IF(ReviewDate="","SET REVIEW DATE ","")&amp;IF(AND(C39="Closed",AI39="Unresolved"),"CLOSURE NOT EVIDENCED ","")&amp;IF(AND(AI39="Unresolved",R39&gt;=Misses),"REPEATED MISSED COMMITMENT ","")&amp;IF(AND(AI39="Unresolved",Q39="Low"),"LOW-CONFIDENCE FORECAST ","")&amp;IF(AND(AI39="Unresolved",W39&lt;&gt;"Yes"),"CONSUMER ACCEPTANCE MISSING ","")&amp;IF(AND(AI39="Unresolved",AK39&gt;0),"DEPENDENCY OVERDUE ","")&amp;IF(AND(AI39="Unresolved",E39=""),"DEADLINE MISSING ",""))</f>
        <v/>
      </c>
      <c r="H39" s="11" t="str">
        <f t="shared" si="1"/>
        <v/>
      </c>
      <c r="I39" s="8"/>
      <c r="J39" s="8"/>
      <c r="K39" s="8"/>
      <c r="L39" s="8"/>
      <c r="M39" s="8"/>
      <c r="N39" s="8"/>
      <c r="O39" s="8"/>
      <c r="P39" s="9"/>
      <c r="Q39" s="8"/>
      <c r="R39" s="8"/>
      <c r="S39" s="8"/>
      <c r="T39" s="8"/>
      <c r="U39" s="8"/>
      <c r="V39" s="8"/>
      <c r="W39" s="8"/>
      <c r="X39" s="9"/>
      <c r="Y39" s="8"/>
      <c r="Z39" s="8"/>
      <c r="AA39" s="8"/>
      <c r="AB39" s="8"/>
      <c r="AC39" s="8"/>
      <c r="AD39" s="8"/>
      <c r="AE39" s="9"/>
      <c r="AF39" s="8"/>
      <c r="AG39" s="8"/>
      <c r="AH39" s="8"/>
      <c r="AI39" s="11" t="str">
        <f t="shared" si="2"/>
        <v/>
      </c>
      <c r="AJ39" s="11" t="str">
        <f t="shared" si="3"/>
        <v/>
      </c>
      <c r="AK39" s="11" t="str">
        <f t="shared" si="4"/>
        <v/>
      </c>
    </row>
    <row r="40" spans="1:37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IF(A40="","",IF(COUNTIF('05 - DEPENDENCIES'!$A$9:$A$58,A40)&gt;1,"DUPLICATE ID ","")&amp;IF(ReviewDate="","SET REVIEW DATE ","")&amp;IF(AND(C40="Closed",AI40="Unresolved"),"CLOSURE NOT EVIDENCED ","")&amp;IF(AND(AI40="Unresolved",R40&gt;=Misses),"REPEATED MISSED COMMITMENT ","")&amp;IF(AND(AI40="Unresolved",Q40="Low"),"LOW-CONFIDENCE FORECAST ","")&amp;IF(AND(AI40="Unresolved",W40&lt;&gt;"Yes"),"CONSUMER ACCEPTANCE MISSING ","")&amp;IF(AND(AI40="Unresolved",AK40&gt;0),"DEPENDENCY OVERDUE ","")&amp;IF(AND(AI40="Unresolved",E40=""),"DEADLINE MISSING ",""))</f>
        <v/>
      </c>
      <c r="H40" s="11" t="str">
        <f t="shared" si="1"/>
        <v/>
      </c>
      <c r="I40" s="8"/>
      <c r="J40" s="8"/>
      <c r="K40" s="8"/>
      <c r="L40" s="8"/>
      <c r="M40" s="8"/>
      <c r="N40" s="8"/>
      <c r="O40" s="8"/>
      <c r="P40" s="9"/>
      <c r="Q40" s="8"/>
      <c r="R40" s="8"/>
      <c r="S40" s="8"/>
      <c r="T40" s="8"/>
      <c r="U40" s="8"/>
      <c r="V40" s="8"/>
      <c r="W40" s="8"/>
      <c r="X40" s="9"/>
      <c r="Y40" s="8"/>
      <c r="Z40" s="8"/>
      <c r="AA40" s="8"/>
      <c r="AB40" s="8"/>
      <c r="AC40" s="8"/>
      <c r="AD40" s="8"/>
      <c r="AE40" s="9"/>
      <c r="AF40" s="8"/>
      <c r="AG40" s="8"/>
      <c r="AH40" s="8"/>
      <c r="AI40" s="11" t="str">
        <f t="shared" si="2"/>
        <v/>
      </c>
      <c r="AJ40" s="11" t="str">
        <f t="shared" si="3"/>
        <v/>
      </c>
      <c r="AK40" s="11" t="str">
        <f t="shared" si="4"/>
        <v/>
      </c>
    </row>
    <row r="41" spans="1:37" ht="60" customHeight="1">
      <c r="A41" s="8"/>
      <c r="B41" s="8"/>
      <c r="C41" s="8"/>
      <c r="D41" s="8"/>
      <c r="E41" s="9"/>
      <c r="F41" s="11" t="str">
        <f t="shared" ref="F41:F58" si="5">IF(A41="","",IF(AND(AI41="Unresolved",O41="Critical",OR(AK41&gt;0,R41&gt;=Misses)),"Critical",IF(G41&lt;&gt;"","Review","Routine")))</f>
        <v/>
      </c>
      <c r="G41" s="20" t="str">
        <f>IF(A41="","",IF(COUNTIF('05 - DEPENDENCIES'!$A$9:$A$58,A41)&gt;1,"DUPLICATE ID ","")&amp;IF(ReviewDate="","SET REVIEW DATE ","")&amp;IF(AND(C41="Closed",AI41="Unresolved"),"CLOSURE NOT EVIDENCED ","")&amp;IF(AND(AI41="Unresolved",R41&gt;=Misses),"REPEATED MISSED COMMITMENT ","")&amp;IF(AND(AI41="Unresolved",Q41="Low"),"LOW-CONFIDENCE FORECAST ","")&amp;IF(AND(AI41="Unresolved",W41&lt;&gt;"Yes"),"CONSUMER ACCEPTANCE MISSING ","")&amp;IF(AND(AI41="Unresolved",AK41&gt;0),"DEPENDENCY OVERDUE ","")&amp;IF(AND(AI41="Unresolved",E41=""),"DEADLINE MISSING ",""))</f>
        <v/>
      </c>
      <c r="H41" s="11" t="str">
        <f t="shared" ref="H41:H58" si="6">IF(A41="","",IF(AI41&lt;&gt;"Unresolved","",IF(R41&gt;=Misses,"Review eliminate / decouple options before accepting another forecast.","Obtain consumer acceptance evidence or authorised removal.")))</f>
        <v/>
      </c>
      <c r="I41" s="8"/>
      <c r="J41" s="8"/>
      <c r="K41" s="8"/>
      <c r="L41" s="8"/>
      <c r="M41" s="8"/>
      <c r="N41" s="8"/>
      <c r="O41" s="8"/>
      <c r="P41" s="9"/>
      <c r="Q41" s="8"/>
      <c r="R41" s="8"/>
      <c r="S41" s="8"/>
      <c r="T41" s="8"/>
      <c r="U41" s="8"/>
      <c r="V41" s="8"/>
      <c r="W41" s="8"/>
      <c r="X41" s="9"/>
      <c r="Y41" s="8"/>
      <c r="Z41" s="8"/>
      <c r="AA41" s="8"/>
      <c r="AB41" s="8"/>
      <c r="AC41" s="8"/>
      <c r="AD41" s="8"/>
      <c r="AE41" s="9"/>
      <c r="AF41" s="8"/>
      <c r="AG41" s="8"/>
      <c r="AH41" s="8"/>
      <c r="AI41" s="11" t="str">
        <f t="shared" ref="AI41:AI58" si="7">IF(A41="","",IF(AND(W41="Yes",V41&lt;&gt;"",ISNUMBER(X41)),"Consumer accepted",IF(AND(AF41="Yes",AG41&lt;&gt;"",AH41&lt;&gt;""),"Authorised removal","Unresolved")))</f>
        <v/>
      </c>
      <c r="AJ41" s="11" t="str">
        <f t="shared" ref="AJ41:AJ58" si="8">IF(A41="","",IF(AND(AI41="Unresolved",ISNUMBER(E41),ISNUMBER(ReviewDate)),E41-ReviewDate,""))</f>
        <v/>
      </c>
      <c r="AK41" s="11" t="str">
        <f t="shared" ref="AK41:AK58" si="9">IF(A41="","",IF(ISNUMBER(AJ41),MAX(0,-AJ41),""))</f>
        <v/>
      </c>
    </row>
    <row r="42" spans="1:37" ht="60" customHeight="1">
      <c r="A42" s="8"/>
      <c r="B42" s="8"/>
      <c r="C42" s="8"/>
      <c r="D42" s="8"/>
      <c r="E42" s="9"/>
      <c r="F42" s="11" t="str">
        <f t="shared" si="5"/>
        <v/>
      </c>
      <c r="G42" s="20" t="str">
        <f>IF(A42="","",IF(COUNTIF('05 - DEPENDENCIES'!$A$9:$A$58,A42)&gt;1,"DUPLICATE ID ","")&amp;IF(ReviewDate="","SET REVIEW DATE ","")&amp;IF(AND(C42="Closed",AI42="Unresolved"),"CLOSURE NOT EVIDENCED ","")&amp;IF(AND(AI42="Unresolved",R42&gt;=Misses),"REPEATED MISSED COMMITMENT ","")&amp;IF(AND(AI42="Unresolved",Q42="Low"),"LOW-CONFIDENCE FORECAST ","")&amp;IF(AND(AI42="Unresolved",W42&lt;&gt;"Yes"),"CONSUMER ACCEPTANCE MISSING ","")&amp;IF(AND(AI42="Unresolved",AK42&gt;0),"DEPENDENCY OVERDUE ","")&amp;IF(AND(AI42="Unresolved",E42=""),"DEADLINE MISSING ",""))</f>
        <v/>
      </c>
      <c r="H42" s="11" t="str">
        <f t="shared" si="6"/>
        <v/>
      </c>
      <c r="I42" s="8"/>
      <c r="J42" s="8"/>
      <c r="K42" s="8"/>
      <c r="L42" s="8"/>
      <c r="M42" s="8"/>
      <c r="N42" s="8"/>
      <c r="O42" s="8"/>
      <c r="P42" s="9"/>
      <c r="Q42" s="8"/>
      <c r="R42" s="8"/>
      <c r="S42" s="8"/>
      <c r="T42" s="8"/>
      <c r="U42" s="8"/>
      <c r="V42" s="8"/>
      <c r="W42" s="8"/>
      <c r="X42" s="9"/>
      <c r="Y42" s="8"/>
      <c r="Z42" s="8"/>
      <c r="AA42" s="8"/>
      <c r="AB42" s="8"/>
      <c r="AC42" s="8"/>
      <c r="AD42" s="8"/>
      <c r="AE42" s="9"/>
      <c r="AF42" s="8"/>
      <c r="AG42" s="8"/>
      <c r="AH42" s="8"/>
      <c r="AI42" s="11" t="str">
        <f t="shared" si="7"/>
        <v/>
      </c>
      <c r="AJ42" s="11" t="str">
        <f t="shared" si="8"/>
        <v/>
      </c>
      <c r="AK42" s="11" t="str">
        <f t="shared" si="9"/>
        <v/>
      </c>
    </row>
    <row r="43" spans="1:37" ht="60" customHeight="1">
      <c r="A43" s="8"/>
      <c r="B43" s="8"/>
      <c r="C43" s="8"/>
      <c r="D43" s="8"/>
      <c r="E43" s="9"/>
      <c r="F43" s="11" t="str">
        <f t="shared" si="5"/>
        <v/>
      </c>
      <c r="G43" s="20" t="str">
        <f>IF(A43="","",IF(COUNTIF('05 - DEPENDENCIES'!$A$9:$A$58,A43)&gt;1,"DUPLICATE ID ","")&amp;IF(ReviewDate="","SET REVIEW DATE ","")&amp;IF(AND(C43="Closed",AI43="Unresolved"),"CLOSURE NOT EVIDENCED ","")&amp;IF(AND(AI43="Unresolved",R43&gt;=Misses),"REPEATED MISSED COMMITMENT ","")&amp;IF(AND(AI43="Unresolved",Q43="Low"),"LOW-CONFIDENCE FORECAST ","")&amp;IF(AND(AI43="Unresolved",W43&lt;&gt;"Yes"),"CONSUMER ACCEPTANCE MISSING ","")&amp;IF(AND(AI43="Unresolved",AK43&gt;0),"DEPENDENCY OVERDUE ","")&amp;IF(AND(AI43="Unresolved",E43=""),"DEADLINE MISSING ",""))</f>
        <v/>
      </c>
      <c r="H43" s="11" t="str">
        <f t="shared" si="6"/>
        <v/>
      </c>
      <c r="I43" s="8"/>
      <c r="J43" s="8"/>
      <c r="K43" s="8"/>
      <c r="L43" s="8"/>
      <c r="M43" s="8"/>
      <c r="N43" s="8"/>
      <c r="O43" s="8"/>
      <c r="P43" s="9"/>
      <c r="Q43" s="8"/>
      <c r="R43" s="8"/>
      <c r="S43" s="8"/>
      <c r="T43" s="8"/>
      <c r="U43" s="8"/>
      <c r="V43" s="8"/>
      <c r="W43" s="8"/>
      <c r="X43" s="9"/>
      <c r="Y43" s="8"/>
      <c r="Z43" s="8"/>
      <c r="AA43" s="8"/>
      <c r="AB43" s="8"/>
      <c r="AC43" s="8"/>
      <c r="AD43" s="8"/>
      <c r="AE43" s="9"/>
      <c r="AF43" s="8"/>
      <c r="AG43" s="8"/>
      <c r="AH43" s="8"/>
      <c r="AI43" s="11" t="str">
        <f t="shared" si="7"/>
        <v/>
      </c>
      <c r="AJ43" s="11" t="str">
        <f t="shared" si="8"/>
        <v/>
      </c>
      <c r="AK43" s="11" t="str">
        <f t="shared" si="9"/>
        <v/>
      </c>
    </row>
    <row r="44" spans="1:37" ht="60" customHeight="1">
      <c r="A44" s="8"/>
      <c r="B44" s="8"/>
      <c r="C44" s="8"/>
      <c r="D44" s="8"/>
      <c r="E44" s="9"/>
      <c r="F44" s="11" t="str">
        <f t="shared" si="5"/>
        <v/>
      </c>
      <c r="G44" s="20" t="str">
        <f>IF(A44="","",IF(COUNTIF('05 - DEPENDENCIES'!$A$9:$A$58,A44)&gt;1,"DUPLICATE ID ","")&amp;IF(ReviewDate="","SET REVIEW DATE ","")&amp;IF(AND(C44="Closed",AI44="Unresolved"),"CLOSURE NOT EVIDENCED ","")&amp;IF(AND(AI44="Unresolved",R44&gt;=Misses),"REPEATED MISSED COMMITMENT ","")&amp;IF(AND(AI44="Unresolved",Q44="Low"),"LOW-CONFIDENCE FORECAST ","")&amp;IF(AND(AI44="Unresolved",W44&lt;&gt;"Yes"),"CONSUMER ACCEPTANCE MISSING ","")&amp;IF(AND(AI44="Unresolved",AK44&gt;0),"DEPENDENCY OVERDUE ","")&amp;IF(AND(AI44="Unresolved",E44=""),"DEADLINE MISSING ",""))</f>
        <v/>
      </c>
      <c r="H44" s="11" t="str">
        <f t="shared" si="6"/>
        <v/>
      </c>
      <c r="I44" s="8"/>
      <c r="J44" s="8"/>
      <c r="K44" s="8"/>
      <c r="L44" s="8"/>
      <c r="M44" s="8"/>
      <c r="N44" s="8"/>
      <c r="O44" s="8"/>
      <c r="P44" s="9"/>
      <c r="Q44" s="8"/>
      <c r="R44" s="8"/>
      <c r="S44" s="8"/>
      <c r="T44" s="8"/>
      <c r="U44" s="8"/>
      <c r="V44" s="8"/>
      <c r="W44" s="8"/>
      <c r="X44" s="9"/>
      <c r="Y44" s="8"/>
      <c r="Z44" s="8"/>
      <c r="AA44" s="8"/>
      <c r="AB44" s="8"/>
      <c r="AC44" s="8"/>
      <c r="AD44" s="8"/>
      <c r="AE44" s="9"/>
      <c r="AF44" s="8"/>
      <c r="AG44" s="8"/>
      <c r="AH44" s="8"/>
      <c r="AI44" s="11" t="str">
        <f t="shared" si="7"/>
        <v/>
      </c>
      <c r="AJ44" s="11" t="str">
        <f t="shared" si="8"/>
        <v/>
      </c>
      <c r="AK44" s="11" t="str">
        <f t="shared" si="9"/>
        <v/>
      </c>
    </row>
    <row r="45" spans="1:37" ht="60" customHeight="1">
      <c r="A45" s="8"/>
      <c r="B45" s="8"/>
      <c r="C45" s="8"/>
      <c r="D45" s="8"/>
      <c r="E45" s="9"/>
      <c r="F45" s="11" t="str">
        <f t="shared" si="5"/>
        <v/>
      </c>
      <c r="G45" s="20" t="str">
        <f>IF(A45="","",IF(COUNTIF('05 - DEPENDENCIES'!$A$9:$A$58,A45)&gt;1,"DUPLICATE ID ","")&amp;IF(ReviewDate="","SET REVIEW DATE ","")&amp;IF(AND(C45="Closed",AI45="Unresolved"),"CLOSURE NOT EVIDENCED ","")&amp;IF(AND(AI45="Unresolved",R45&gt;=Misses),"REPEATED MISSED COMMITMENT ","")&amp;IF(AND(AI45="Unresolved",Q45="Low"),"LOW-CONFIDENCE FORECAST ","")&amp;IF(AND(AI45="Unresolved",W45&lt;&gt;"Yes"),"CONSUMER ACCEPTANCE MISSING ","")&amp;IF(AND(AI45="Unresolved",AK45&gt;0),"DEPENDENCY OVERDUE ","")&amp;IF(AND(AI45="Unresolved",E45=""),"DEADLINE MISSING ",""))</f>
        <v/>
      </c>
      <c r="H45" s="11" t="str">
        <f t="shared" si="6"/>
        <v/>
      </c>
      <c r="I45" s="8"/>
      <c r="J45" s="8"/>
      <c r="K45" s="8"/>
      <c r="L45" s="8"/>
      <c r="M45" s="8"/>
      <c r="N45" s="8"/>
      <c r="O45" s="8"/>
      <c r="P45" s="9"/>
      <c r="Q45" s="8"/>
      <c r="R45" s="8"/>
      <c r="S45" s="8"/>
      <c r="T45" s="8"/>
      <c r="U45" s="8"/>
      <c r="V45" s="8"/>
      <c r="W45" s="8"/>
      <c r="X45" s="9"/>
      <c r="Y45" s="8"/>
      <c r="Z45" s="8"/>
      <c r="AA45" s="8"/>
      <c r="AB45" s="8"/>
      <c r="AC45" s="8"/>
      <c r="AD45" s="8"/>
      <c r="AE45" s="9"/>
      <c r="AF45" s="8"/>
      <c r="AG45" s="8"/>
      <c r="AH45" s="8"/>
      <c r="AI45" s="11" t="str">
        <f t="shared" si="7"/>
        <v/>
      </c>
      <c r="AJ45" s="11" t="str">
        <f t="shared" si="8"/>
        <v/>
      </c>
      <c r="AK45" s="11" t="str">
        <f t="shared" si="9"/>
        <v/>
      </c>
    </row>
    <row r="46" spans="1:37" ht="60" customHeight="1">
      <c r="A46" s="8"/>
      <c r="B46" s="8"/>
      <c r="C46" s="8"/>
      <c r="D46" s="8"/>
      <c r="E46" s="9"/>
      <c r="F46" s="11" t="str">
        <f t="shared" si="5"/>
        <v/>
      </c>
      <c r="G46" s="20" t="str">
        <f>IF(A46="","",IF(COUNTIF('05 - DEPENDENCIES'!$A$9:$A$58,A46)&gt;1,"DUPLICATE ID ","")&amp;IF(ReviewDate="","SET REVIEW DATE ","")&amp;IF(AND(C46="Closed",AI46="Unresolved"),"CLOSURE NOT EVIDENCED ","")&amp;IF(AND(AI46="Unresolved",R46&gt;=Misses),"REPEATED MISSED COMMITMENT ","")&amp;IF(AND(AI46="Unresolved",Q46="Low"),"LOW-CONFIDENCE FORECAST ","")&amp;IF(AND(AI46="Unresolved",W46&lt;&gt;"Yes"),"CONSUMER ACCEPTANCE MISSING ","")&amp;IF(AND(AI46="Unresolved",AK46&gt;0),"DEPENDENCY OVERDUE ","")&amp;IF(AND(AI46="Unresolved",E46=""),"DEADLINE MISSING ",""))</f>
        <v/>
      </c>
      <c r="H46" s="11" t="str">
        <f t="shared" si="6"/>
        <v/>
      </c>
      <c r="I46" s="8"/>
      <c r="J46" s="8"/>
      <c r="K46" s="8"/>
      <c r="L46" s="8"/>
      <c r="M46" s="8"/>
      <c r="N46" s="8"/>
      <c r="O46" s="8"/>
      <c r="P46" s="9"/>
      <c r="Q46" s="8"/>
      <c r="R46" s="8"/>
      <c r="S46" s="8"/>
      <c r="T46" s="8"/>
      <c r="U46" s="8"/>
      <c r="V46" s="8"/>
      <c r="W46" s="8"/>
      <c r="X46" s="9"/>
      <c r="Y46" s="8"/>
      <c r="Z46" s="8"/>
      <c r="AA46" s="8"/>
      <c r="AB46" s="8"/>
      <c r="AC46" s="8"/>
      <c r="AD46" s="8"/>
      <c r="AE46" s="9"/>
      <c r="AF46" s="8"/>
      <c r="AG46" s="8"/>
      <c r="AH46" s="8"/>
      <c r="AI46" s="11" t="str">
        <f t="shared" si="7"/>
        <v/>
      </c>
      <c r="AJ46" s="11" t="str">
        <f t="shared" si="8"/>
        <v/>
      </c>
      <c r="AK46" s="11" t="str">
        <f t="shared" si="9"/>
        <v/>
      </c>
    </row>
    <row r="47" spans="1:37" ht="60" customHeight="1">
      <c r="A47" s="8"/>
      <c r="B47" s="8"/>
      <c r="C47" s="8"/>
      <c r="D47" s="8"/>
      <c r="E47" s="9"/>
      <c r="F47" s="11" t="str">
        <f t="shared" si="5"/>
        <v/>
      </c>
      <c r="G47" s="20" t="str">
        <f>IF(A47="","",IF(COUNTIF('05 - DEPENDENCIES'!$A$9:$A$58,A47)&gt;1,"DUPLICATE ID ","")&amp;IF(ReviewDate="","SET REVIEW DATE ","")&amp;IF(AND(C47="Closed",AI47="Unresolved"),"CLOSURE NOT EVIDENCED ","")&amp;IF(AND(AI47="Unresolved",R47&gt;=Misses),"REPEATED MISSED COMMITMENT ","")&amp;IF(AND(AI47="Unresolved",Q47="Low"),"LOW-CONFIDENCE FORECAST ","")&amp;IF(AND(AI47="Unresolved",W47&lt;&gt;"Yes"),"CONSUMER ACCEPTANCE MISSING ","")&amp;IF(AND(AI47="Unresolved",AK47&gt;0),"DEPENDENCY OVERDUE ","")&amp;IF(AND(AI47="Unresolved",E47=""),"DEADLINE MISSING ",""))</f>
        <v/>
      </c>
      <c r="H47" s="11" t="str">
        <f t="shared" si="6"/>
        <v/>
      </c>
      <c r="I47" s="8"/>
      <c r="J47" s="8"/>
      <c r="K47" s="8"/>
      <c r="L47" s="8"/>
      <c r="M47" s="8"/>
      <c r="N47" s="8"/>
      <c r="O47" s="8"/>
      <c r="P47" s="9"/>
      <c r="Q47" s="8"/>
      <c r="R47" s="8"/>
      <c r="S47" s="8"/>
      <c r="T47" s="8"/>
      <c r="U47" s="8"/>
      <c r="V47" s="8"/>
      <c r="W47" s="8"/>
      <c r="X47" s="9"/>
      <c r="Y47" s="8"/>
      <c r="Z47" s="8"/>
      <c r="AA47" s="8"/>
      <c r="AB47" s="8"/>
      <c r="AC47" s="8"/>
      <c r="AD47" s="8"/>
      <c r="AE47" s="9"/>
      <c r="AF47" s="8"/>
      <c r="AG47" s="8"/>
      <c r="AH47" s="8"/>
      <c r="AI47" s="11" t="str">
        <f t="shared" si="7"/>
        <v/>
      </c>
      <c r="AJ47" s="11" t="str">
        <f t="shared" si="8"/>
        <v/>
      </c>
      <c r="AK47" s="11" t="str">
        <f t="shared" si="9"/>
        <v/>
      </c>
    </row>
    <row r="48" spans="1:37" ht="60" customHeight="1">
      <c r="A48" s="8"/>
      <c r="B48" s="8"/>
      <c r="C48" s="8"/>
      <c r="D48" s="8"/>
      <c r="E48" s="9"/>
      <c r="F48" s="11" t="str">
        <f t="shared" si="5"/>
        <v/>
      </c>
      <c r="G48" s="20" t="str">
        <f>IF(A48="","",IF(COUNTIF('05 - DEPENDENCIES'!$A$9:$A$58,A48)&gt;1,"DUPLICATE ID ","")&amp;IF(ReviewDate="","SET REVIEW DATE ","")&amp;IF(AND(C48="Closed",AI48="Unresolved"),"CLOSURE NOT EVIDENCED ","")&amp;IF(AND(AI48="Unresolved",R48&gt;=Misses),"REPEATED MISSED COMMITMENT ","")&amp;IF(AND(AI48="Unresolved",Q48="Low"),"LOW-CONFIDENCE FORECAST ","")&amp;IF(AND(AI48="Unresolved",W48&lt;&gt;"Yes"),"CONSUMER ACCEPTANCE MISSING ","")&amp;IF(AND(AI48="Unresolved",AK48&gt;0),"DEPENDENCY OVERDUE ","")&amp;IF(AND(AI48="Unresolved",E48=""),"DEADLINE MISSING ",""))</f>
        <v/>
      </c>
      <c r="H48" s="11" t="str">
        <f t="shared" si="6"/>
        <v/>
      </c>
      <c r="I48" s="8"/>
      <c r="J48" s="8"/>
      <c r="K48" s="8"/>
      <c r="L48" s="8"/>
      <c r="M48" s="8"/>
      <c r="N48" s="8"/>
      <c r="O48" s="8"/>
      <c r="P48" s="9"/>
      <c r="Q48" s="8"/>
      <c r="R48" s="8"/>
      <c r="S48" s="8"/>
      <c r="T48" s="8"/>
      <c r="U48" s="8"/>
      <c r="V48" s="8"/>
      <c r="W48" s="8"/>
      <c r="X48" s="9"/>
      <c r="Y48" s="8"/>
      <c r="Z48" s="8"/>
      <c r="AA48" s="8"/>
      <c r="AB48" s="8"/>
      <c r="AC48" s="8"/>
      <c r="AD48" s="8"/>
      <c r="AE48" s="9"/>
      <c r="AF48" s="8"/>
      <c r="AG48" s="8"/>
      <c r="AH48" s="8"/>
      <c r="AI48" s="11" t="str">
        <f t="shared" si="7"/>
        <v/>
      </c>
      <c r="AJ48" s="11" t="str">
        <f t="shared" si="8"/>
        <v/>
      </c>
      <c r="AK48" s="11" t="str">
        <f t="shared" si="9"/>
        <v/>
      </c>
    </row>
    <row r="49" spans="1:37" ht="60" customHeight="1">
      <c r="A49" s="8"/>
      <c r="B49" s="8"/>
      <c r="C49" s="8"/>
      <c r="D49" s="8"/>
      <c r="E49" s="9"/>
      <c r="F49" s="11" t="str">
        <f t="shared" si="5"/>
        <v/>
      </c>
      <c r="G49" s="20" t="str">
        <f>IF(A49="","",IF(COUNTIF('05 - DEPENDENCIES'!$A$9:$A$58,A49)&gt;1,"DUPLICATE ID ","")&amp;IF(ReviewDate="","SET REVIEW DATE ","")&amp;IF(AND(C49="Closed",AI49="Unresolved"),"CLOSURE NOT EVIDENCED ","")&amp;IF(AND(AI49="Unresolved",R49&gt;=Misses),"REPEATED MISSED COMMITMENT ","")&amp;IF(AND(AI49="Unresolved",Q49="Low"),"LOW-CONFIDENCE FORECAST ","")&amp;IF(AND(AI49="Unresolved",W49&lt;&gt;"Yes"),"CONSUMER ACCEPTANCE MISSING ","")&amp;IF(AND(AI49="Unresolved",AK49&gt;0),"DEPENDENCY OVERDUE ","")&amp;IF(AND(AI49="Unresolved",E49=""),"DEADLINE MISSING ",""))</f>
        <v/>
      </c>
      <c r="H49" s="11" t="str">
        <f t="shared" si="6"/>
        <v/>
      </c>
      <c r="I49" s="8"/>
      <c r="J49" s="8"/>
      <c r="K49" s="8"/>
      <c r="L49" s="8"/>
      <c r="M49" s="8"/>
      <c r="N49" s="8"/>
      <c r="O49" s="8"/>
      <c r="P49" s="9"/>
      <c r="Q49" s="8"/>
      <c r="R49" s="8"/>
      <c r="S49" s="8"/>
      <c r="T49" s="8"/>
      <c r="U49" s="8"/>
      <c r="V49" s="8"/>
      <c r="W49" s="8"/>
      <c r="X49" s="9"/>
      <c r="Y49" s="8"/>
      <c r="Z49" s="8"/>
      <c r="AA49" s="8"/>
      <c r="AB49" s="8"/>
      <c r="AC49" s="8"/>
      <c r="AD49" s="8"/>
      <c r="AE49" s="9"/>
      <c r="AF49" s="8"/>
      <c r="AG49" s="8"/>
      <c r="AH49" s="8"/>
      <c r="AI49" s="11" t="str">
        <f t="shared" si="7"/>
        <v/>
      </c>
      <c r="AJ49" s="11" t="str">
        <f t="shared" si="8"/>
        <v/>
      </c>
      <c r="AK49" s="11" t="str">
        <f t="shared" si="9"/>
        <v/>
      </c>
    </row>
    <row r="50" spans="1:37" ht="60" customHeight="1">
      <c r="A50" s="8"/>
      <c r="B50" s="8"/>
      <c r="C50" s="8"/>
      <c r="D50" s="8"/>
      <c r="E50" s="9"/>
      <c r="F50" s="11" t="str">
        <f t="shared" si="5"/>
        <v/>
      </c>
      <c r="G50" s="20" t="str">
        <f>IF(A50="","",IF(COUNTIF('05 - DEPENDENCIES'!$A$9:$A$58,A50)&gt;1,"DUPLICATE ID ","")&amp;IF(ReviewDate="","SET REVIEW DATE ","")&amp;IF(AND(C50="Closed",AI50="Unresolved"),"CLOSURE NOT EVIDENCED ","")&amp;IF(AND(AI50="Unresolved",R50&gt;=Misses),"REPEATED MISSED COMMITMENT ","")&amp;IF(AND(AI50="Unresolved",Q50="Low"),"LOW-CONFIDENCE FORECAST ","")&amp;IF(AND(AI50="Unresolved",W50&lt;&gt;"Yes"),"CONSUMER ACCEPTANCE MISSING ","")&amp;IF(AND(AI50="Unresolved",AK50&gt;0),"DEPENDENCY OVERDUE ","")&amp;IF(AND(AI50="Unresolved",E50=""),"DEADLINE MISSING ",""))</f>
        <v/>
      </c>
      <c r="H50" s="11" t="str">
        <f t="shared" si="6"/>
        <v/>
      </c>
      <c r="I50" s="8"/>
      <c r="J50" s="8"/>
      <c r="K50" s="8"/>
      <c r="L50" s="8"/>
      <c r="M50" s="8"/>
      <c r="N50" s="8"/>
      <c r="O50" s="8"/>
      <c r="P50" s="9"/>
      <c r="Q50" s="8"/>
      <c r="R50" s="8"/>
      <c r="S50" s="8"/>
      <c r="T50" s="8"/>
      <c r="U50" s="8"/>
      <c r="V50" s="8"/>
      <c r="W50" s="8"/>
      <c r="X50" s="9"/>
      <c r="Y50" s="8"/>
      <c r="Z50" s="8"/>
      <c r="AA50" s="8"/>
      <c r="AB50" s="8"/>
      <c r="AC50" s="8"/>
      <c r="AD50" s="8"/>
      <c r="AE50" s="9"/>
      <c r="AF50" s="8"/>
      <c r="AG50" s="8"/>
      <c r="AH50" s="8"/>
      <c r="AI50" s="11" t="str">
        <f t="shared" si="7"/>
        <v/>
      </c>
      <c r="AJ50" s="11" t="str">
        <f t="shared" si="8"/>
        <v/>
      </c>
      <c r="AK50" s="11" t="str">
        <f t="shared" si="9"/>
        <v/>
      </c>
    </row>
    <row r="51" spans="1:37" ht="60" customHeight="1">
      <c r="A51" s="8"/>
      <c r="B51" s="8"/>
      <c r="C51" s="8"/>
      <c r="D51" s="8"/>
      <c r="E51" s="9"/>
      <c r="F51" s="11" t="str">
        <f t="shared" si="5"/>
        <v/>
      </c>
      <c r="G51" s="20" t="str">
        <f>IF(A51="","",IF(COUNTIF('05 - DEPENDENCIES'!$A$9:$A$58,A51)&gt;1,"DUPLICATE ID ","")&amp;IF(ReviewDate="","SET REVIEW DATE ","")&amp;IF(AND(C51="Closed",AI51="Unresolved"),"CLOSURE NOT EVIDENCED ","")&amp;IF(AND(AI51="Unresolved",R51&gt;=Misses),"REPEATED MISSED COMMITMENT ","")&amp;IF(AND(AI51="Unresolved",Q51="Low"),"LOW-CONFIDENCE FORECAST ","")&amp;IF(AND(AI51="Unresolved",W51&lt;&gt;"Yes"),"CONSUMER ACCEPTANCE MISSING ","")&amp;IF(AND(AI51="Unresolved",AK51&gt;0),"DEPENDENCY OVERDUE ","")&amp;IF(AND(AI51="Unresolved",E51=""),"DEADLINE MISSING ",""))</f>
        <v/>
      </c>
      <c r="H51" s="11" t="str">
        <f t="shared" si="6"/>
        <v/>
      </c>
      <c r="I51" s="8"/>
      <c r="J51" s="8"/>
      <c r="K51" s="8"/>
      <c r="L51" s="8"/>
      <c r="M51" s="8"/>
      <c r="N51" s="8"/>
      <c r="O51" s="8"/>
      <c r="P51" s="9"/>
      <c r="Q51" s="8"/>
      <c r="R51" s="8"/>
      <c r="S51" s="8"/>
      <c r="T51" s="8"/>
      <c r="U51" s="8"/>
      <c r="V51" s="8"/>
      <c r="W51" s="8"/>
      <c r="X51" s="9"/>
      <c r="Y51" s="8"/>
      <c r="Z51" s="8"/>
      <c r="AA51" s="8"/>
      <c r="AB51" s="8"/>
      <c r="AC51" s="8"/>
      <c r="AD51" s="8"/>
      <c r="AE51" s="9"/>
      <c r="AF51" s="8"/>
      <c r="AG51" s="8"/>
      <c r="AH51" s="8"/>
      <c r="AI51" s="11" t="str">
        <f t="shared" si="7"/>
        <v/>
      </c>
      <c r="AJ51" s="11" t="str">
        <f t="shared" si="8"/>
        <v/>
      </c>
      <c r="AK51" s="11" t="str">
        <f t="shared" si="9"/>
        <v/>
      </c>
    </row>
    <row r="52" spans="1:37" ht="60" customHeight="1">
      <c r="A52" s="8"/>
      <c r="B52" s="8"/>
      <c r="C52" s="8"/>
      <c r="D52" s="8"/>
      <c r="E52" s="9"/>
      <c r="F52" s="11" t="str">
        <f t="shared" si="5"/>
        <v/>
      </c>
      <c r="G52" s="20" t="str">
        <f>IF(A52="","",IF(COUNTIF('05 - DEPENDENCIES'!$A$9:$A$58,A52)&gt;1,"DUPLICATE ID ","")&amp;IF(ReviewDate="","SET REVIEW DATE ","")&amp;IF(AND(C52="Closed",AI52="Unresolved"),"CLOSURE NOT EVIDENCED ","")&amp;IF(AND(AI52="Unresolved",R52&gt;=Misses),"REPEATED MISSED COMMITMENT ","")&amp;IF(AND(AI52="Unresolved",Q52="Low"),"LOW-CONFIDENCE FORECAST ","")&amp;IF(AND(AI52="Unresolved",W52&lt;&gt;"Yes"),"CONSUMER ACCEPTANCE MISSING ","")&amp;IF(AND(AI52="Unresolved",AK52&gt;0),"DEPENDENCY OVERDUE ","")&amp;IF(AND(AI52="Unresolved",E52=""),"DEADLINE MISSING ",""))</f>
        <v/>
      </c>
      <c r="H52" s="11" t="str">
        <f t="shared" si="6"/>
        <v/>
      </c>
      <c r="I52" s="8"/>
      <c r="J52" s="8"/>
      <c r="K52" s="8"/>
      <c r="L52" s="8"/>
      <c r="M52" s="8"/>
      <c r="N52" s="8"/>
      <c r="O52" s="8"/>
      <c r="P52" s="9"/>
      <c r="Q52" s="8"/>
      <c r="R52" s="8"/>
      <c r="S52" s="8"/>
      <c r="T52" s="8"/>
      <c r="U52" s="8"/>
      <c r="V52" s="8"/>
      <c r="W52" s="8"/>
      <c r="X52" s="9"/>
      <c r="Y52" s="8"/>
      <c r="Z52" s="8"/>
      <c r="AA52" s="8"/>
      <c r="AB52" s="8"/>
      <c r="AC52" s="8"/>
      <c r="AD52" s="8"/>
      <c r="AE52" s="9"/>
      <c r="AF52" s="8"/>
      <c r="AG52" s="8"/>
      <c r="AH52" s="8"/>
      <c r="AI52" s="11" t="str">
        <f t="shared" si="7"/>
        <v/>
      </c>
      <c r="AJ52" s="11" t="str">
        <f t="shared" si="8"/>
        <v/>
      </c>
      <c r="AK52" s="11" t="str">
        <f t="shared" si="9"/>
        <v/>
      </c>
    </row>
    <row r="53" spans="1:37" ht="60" customHeight="1">
      <c r="A53" s="8"/>
      <c r="B53" s="8"/>
      <c r="C53" s="8"/>
      <c r="D53" s="8"/>
      <c r="E53" s="9"/>
      <c r="F53" s="11" t="str">
        <f t="shared" si="5"/>
        <v/>
      </c>
      <c r="G53" s="20" t="str">
        <f>IF(A53="","",IF(COUNTIF('05 - DEPENDENCIES'!$A$9:$A$58,A53)&gt;1,"DUPLICATE ID ","")&amp;IF(ReviewDate="","SET REVIEW DATE ","")&amp;IF(AND(C53="Closed",AI53="Unresolved"),"CLOSURE NOT EVIDENCED ","")&amp;IF(AND(AI53="Unresolved",R53&gt;=Misses),"REPEATED MISSED COMMITMENT ","")&amp;IF(AND(AI53="Unresolved",Q53="Low"),"LOW-CONFIDENCE FORECAST ","")&amp;IF(AND(AI53="Unresolved",W53&lt;&gt;"Yes"),"CONSUMER ACCEPTANCE MISSING ","")&amp;IF(AND(AI53="Unresolved",AK53&gt;0),"DEPENDENCY OVERDUE ","")&amp;IF(AND(AI53="Unresolved",E53=""),"DEADLINE MISSING ",""))</f>
        <v/>
      </c>
      <c r="H53" s="11" t="str">
        <f t="shared" si="6"/>
        <v/>
      </c>
      <c r="I53" s="8"/>
      <c r="J53" s="8"/>
      <c r="K53" s="8"/>
      <c r="L53" s="8"/>
      <c r="M53" s="8"/>
      <c r="N53" s="8"/>
      <c r="O53" s="8"/>
      <c r="P53" s="9"/>
      <c r="Q53" s="8"/>
      <c r="R53" s="8"/>
      <c r="S53" s="8"/>
      <c r="T53" s="8"/>
      <c r="U53" s="8"/>
      <c r="V53" s="8"/>
      <c r="W53" s="8"/>
      <c r="X53" s="9"/>
      <c r="Y53" s="8"/>
      <c r="Z53" s="8"/>
      <c r="AA53" s="8"/>
      <c r="AB53" s="8"/>
      <c r="AC53" s="8"/>
      <c r="AD53" s="8"/>
      <c r="AE53" s="9"/>
      <c r="AF53" s="8"/>
      <c r="AG53" s="8"/>
      <c r="AH53" s="8"/>
      <c r="AI53" s="11" t="str">
        <f t="shared" si="7"/>
        <v/>
      </c>
      <c r="AJ53" s="11" t="str">
        <f t="shared" si="8"/>
        <v/>
      </c>
      <c r="AK53" s="11" t="str">
        <f t="shared" si="9"/>
        <v/>
      </c>
    </row>
    <row r="54" spans="1:37" ht="60" customHeight="1">
      <c r="A54" s="8"/>
      <c r="B54" s="8"/>
      <c r="C54" s="8"/>
      <c r="D54" s="8"/>
      <c r="E54" s="9"/>
      <c r="F54" s="11" t="str">
        <f t="shared" si="5"/>
        <v/>
      </c>
      <c r="G54" s="20" t="str">
        <f>IF(A54="","",IF(COUNTIF('05 - DEPENDENCIES'!$A$9:$A$58,A54)&gt;1,"DUPLICATE ID ","")&amp;IF(ReviewDate="","SET REVIEW DATE ","")&amp;IF(AND(C54="Closed",AI54="Unresolved"),"CLOSURE NOT EVIDENCED ","")&amp;IF(AND(AI54="Unresolved",R54&gt;=Misses),"REPEATED MISSED COMMITMENT ","")&amp;IF(AND(AI54="Unresolved",Q54="Low"),"LOW-CONFIDENCE FORECAST ","")&amp;IF(AND(AI54="Unresolved",W54&lt;&gt;"Yes"),"CONSUMER ACCEPTANCE MISSING ","")&amp;IF(AND(AI54="Unresolved",AK54&gt;0),"DEPENDENCY OVERDUE ","")&amp;IF(AND(AI54="Unresolved",E54=""),"DEADLINE MISSING ",""))</f>
        <v/>
      </c>
      <c r="H54" s="11" t="str">
        <f t="shared" si="6"/>
        <v/>
      </c>
      <c r="I54" s="8"/>
      <c r="J54" s="8"/>
      <c r="K54" s="8"/>
      <c r="L54" s="8"/>
      <c r="M54" s="8"/>
      <c r="N54" s="8"/>
      <c r="O54" s="8"/>
      <c r="P54" s="9"/>
      <c r="Q54" s="8"/>
      <c r="R54" s="8"/>
      <c r="S54" s="8"/>
      <c r="T54" s="8"/>
      <c r="U54" s="8"/>
      <c r="V54" s="8"/>
      <c r="W54" s="8"/>
      <c r="X54" s="9"/>
      <c r="Y54" s="8"/>
      <c r="Z54" s="8"/>
      <c r="AA54" s="8"/>
      <c r="AB54" s="8"/>
      <c r="AC54" s="8"/>
      <c r="AD54" s="8"/>
      <c r="AE54" s="9"/>
      <c r="AF54" s="8"/>
      <c r="AG54" s="8"/>
      <c r="AH54" s="8"/>
      <c r="AI54" s="11" t="str">
        <f t="shared" si="7"/>
        <v/>
      </c>
      <c r="AJ54" s="11" t="str">
        <f t="shared" si="8"/>
        <v/>
      </c>
      <c r="AK54" s="11" t="str">
        <f t="shared" si="9"/>
        <v/>
      </c>
    </row>
    <row r="55" spans="1:37" ht="60" customHeight="1">
      <c r="A55" s="8"/>
      <c r="B55" s="8"/>
      <c r="C55" s="8"/>
      <c r="D55" s="8"/>
      <c r="E55" s="9"/>
      <c r="F55" s="11" t="str">
        <f t="shared" si="5"/>
        <v/>
      </c>
      <c r="G55" s="20" t="str">
        <f>IF(A55="","",IF(COUNTIF('05 - DEPENDENCIES'!$A$9:$A$58,A55)&gt;1,"DUPLICATE ID ","")&amp;IF(ReviewDate="","SET REVIEW DATE ","")&amp;IF(AND(C55="Closed",AI55="Unresolved"),"CLOSURE NOT EVIDENCED ","")&amp;IF(AND(AI55="Unresolved",R55&gt;=Misses),"REPEATED MISSED COMMITMENT ","")&amp;IF(AND(AI55="Unresolved",Q55="Low"),"LOW-CONFIDENCE FORECAST ","")&amp;IF(AND(AI55="Unresolved",W55&lt;&gt;"Yes"),"CONSUMER ACCEPTANCE MISSING ","")&amp;IF(AND(AI55="Unresolved",AK55&gt;0),"DEPENDENCY OVERDUE ","")&amp;IF(AND(AI55="Unresolved",E55=""),"DEADLINE MISSING ",""))</f>
        <v/>
      </c>
      <c r="H55" s="11" t="str">
        <f t="shared" si="6"/>
        <v/>
      </c>
      <c r="I55" s="8"/>
      <c r="J55" s="8"/>
      <c r="K55" s="8"/>
      <c r="L55" s="8"/>
      <c r="M55" s="8"/>
      <c r="N55" s="8"/>
      <c r="O55" s="8"/>
      <c r="P55" s="9"/>
      <c r="Q55" s="8"/>
      <c r="R55" s="8"/>
      <c r="S55" s="8"/>
      <c r="T55" s="8"/>
      <c r="U55" s="8"/>
      <c r="V55" s="8"/>
      <c r="W55" s="8"/>
      <c r="X55" s="9"/>
      <c r="Y55" s="8"/>
      <c r="Z55" s="8"/>
      <c r="AA55" s="8"/>
      <c r="AB55" s="8"/>
      <c r="AC55" s="8"/>
      <c r="AD55" s="8"/>
      <c r="AE55" s="9"/>
      <c r="AF55" s="8"/>
      <c r="AG55" s="8"/>
      <c r="AH55" s="8"/>
      <c r="AI55" s="11" t="str">
        <f t="shared" si="7"/>
        <v/>
      </c>
      <c r="AJ55" s="11" t="str">
        <f t="shared" si="8"/>
        <v/>
      </c>
      <c r="AK55" s="11" t="str">
        <f t="shared" si="9"/>
        <v/>
      </c>
    </row>
    <row r="56" spans="1:37" ht="60" customHeight="1">
      <c r="A56" s="8"/>
      <c r="B56" s="8"/>
      <c r="C56" s="8"/>
      <c r="D56" s="8"/>
      <c r="E56" s="9"/>
      <c r="F56" s="11" t="str">
        <f t="shared" si="5"/>
        <v/>
      </c>
      <c r="G56" s="20" t="str">
        <f>IF(A56="","",IF(COUNTIF('05 - DEPENDENCIES'!$A$9:$A$58,A56)&gt;1,"DUPLICATE ID ","")&amp;IF(ReviewDate="","SET REVIEW DATE ","")&amp;IF(AND(C56="Closed",AI56="Unresolved"),"CLOSURE NOT EVIDENCED ","")&amp;IF(AND(AI56="Unresolved",R56&gt;=Misses),"REPEATED MISSED COMMITMENT ","")&amp;IF(AND(AI56="Unresolved",Q56="Low"),"LOW-CONFIDENCE FORECAST ","")&amp;IF(AND(AI56="Unresolved",W56&lt;&gt;"Yes"),"CONSUMER ACCEPTANCE MISSING ","")&amp;IF(AND(AI56="Unresolved",AK56&gt;0),"DEPENDENCY OVERDUE ","")&amp;IF(AND(AI56="Unresolved",E56=""),"DEADLINE MISSING ",""))</f>
        <v/>
      </c>
      <c r="H56" s="11" t="str">
        <f t="shared" si="6"/>
        <v/>
      </c>
      <c r="I56" s="8"/>
      <c r="J56" s="8"/>
      <c r="K56" s="8"/>
      <c r="L56" s="8"/>
      <c r="M56" s="8"/>
      <c r="N56" s="8"/>
      <c r="O56" s="8"/>
      <c r="P56" s="9"/>
      <c r="Q56" s="8"/>
      <c r="R56" s="8"/>
      <c r="S56" s="8"/>
      <c r="T56" s="8"/>
      <c r="U56" s="8"/>
      <c r="V56" s="8"/>
      <c r="W56" s="8"/>
      <c r="X56" s="9"/>
      <c r="Y56" s="8"/>
      <c r="Z56" s="8"/>
      <c r="AA56" s="8"/>
      <c r="AB56" s="8"/>
      <c r="AC56" s="8"/>
      <c r="AD56" s="8"/>
      <c r="AE56" s="9"/>
      <c r="AF56" s="8"/>
      <c r="AG56" s="8"/>
      <c r="AH56" s="8"/>
      <c r="AI56" s="11" t="str">
        <f t="shared" si="7"/>
        <v/>
      </c>
      <c r="AJ56" s="11" t="str">
        <f t="shared" si="8"/>
        <v/>
      </c>
      <c r="AK56" s="11" t="str">
        <f t="shared" si="9"/>
        <v/>
      </c>
    </row>
    <row r="57" spans="1:37" ht="60" customHeight="1">
      <c r="A57" s="8"/>
      <c r="B57" s="8"/>
      <c r="C57" s="8"/>
      <c r="D57" s="8"/>
      <c r="E57" s="9"/>
      <c r="F57" s="11" t="str">
        <f t="shared" si="5"/>
        <v/>
      </c>
      <c r="G57" s="20" t="str">
        <f>IF(A57="","",IF(COUNTIF('05 - DEPENDENCIES'!$A$9:$A$58,A57)&gt;1,"DUPLICATE ID ","")&amp;IF(ReviewDate="","SET REVIEW DATE ","")&amp;IF(AND(C57="Closed",AI57="Unresolved"),"CLOSURE NOT EVIDENCED ","")&amp;IF(AND(AI57="Unresolved",R57&gt;=Misses),"REPEATED MISSED COMMITMENT ","")&amp;IF(AND(AI57="Unresolved",Q57="Low"),"LOW-CONFIDENCE FORECAST ","")&amp;IF(AND(AI57="Unresolved",W57&lt;&gt;"Yes"),"CONSUMER ACCEPTANCE MISSING ","")&amp;IF(AND(AI57="Unresolved",AK57&gt;0),"DEPENDENCY OVERDUE ","")&amp;IF(AND(AI57="Unresolved",E57=""),"DEADLINE MISSING ",""))</f>
        <v/>
      </c>
      <c r="H57" s="11" t="str">
        <f t="shared" si="6"/>
        <v/>
      </c>
      <c r="I57" s="8"/>
      <c r="J57" s="8"/>
      <c r="K57" s="8"/>
      <c r="L57" s="8"/>
      <c r="M57" s="8"/>
      <c r="N57" s="8"/>
      <c r="O57" s="8"/>
      <c r="P57" s="9"/>
      <c r="Q57" s="8"/>
      <c r="R57" s="8"/>
      <c r="S57" s="8"/>
      <c r="T57" s="8"/>
      <c r="U57" s="8"/>
      <c r="V57" s="8"/>
      <c r="W57" s="8"/>
      <c r="X57" s="9"/>
      <c r="Y57" s="8"/>
      <c r="Z57" s="8"/>
      <c r="AA57" s="8"/>
      <c r="AB57" s="8"/>
      <c r="AC57" s="8"/>
      <c r="AD57" s="8"/>
      <c r="AE57" s="9"/>
      <c r="AF57" s="8"/>
      <c r="AG57" s="8"/>
      <c r="AH57" s="8"/>
      <c r="AI57" s="11" t="str">
        <f t="shared" si="7"/>
        <v/>
      </c>
      <c r="AJ57" s="11" t="str">
        <f t="shared" si="8"/>
        <v/>
      </c>
      <c r="AK57" s="11" t="str">
        <f t="shared" si="9"/>
        <v/>
      </c>
    </row>
    <row r="58" spans="1:37" ht="60" customHeight="1">
      <c r="A58" s="8"/>
      <c r="B58" s="8"/>
      <c r="C58" s="8"/>
      <c r="D58" s="8"/>
      <c r="E58" s="9"/>
      <c r="F58" s="11" t="str">
        <f t="shared" si="5"/>
        <v/>
      </c>
      <c r="G58" s="20" t="str">
        <f>IF(A58="","",IF(COUNTIF('05 - DEPENDENCIES'!$A$9:$A$58,A58)&gt;1,"DUPLICATE ID ","")&amp;IF(ReviewDate="","SET REVIEW DATE ","")&amp;IF(AND(C58="Closed",AI58="Unresolved"),"CLOSURE NOT EVIDENCED ","")&amp;IF(AND(AI58="Unresolved",R58&gt;=Misses),"REPEATED MISSED COMMITMENT ","")&amp;IF(AND(AI58="Unresolved",Q58="Low"),"LOW-CONFIDENCE FORECAST ","")&amp;IF(AND(AI58="Unresolved",W58&lt;&gt;"Yes"),"CONSUMER ACCEPTANCE MISSING ","")&amp;IF(AND(AI58="Unresolved",AK58&gt;0),"DEPENDENCY OVERDUE ","")&amp;IF(AND(AI58="Unresolved",E58=""),"DEADLINE MISSING ",""))</f>
        <v/>
      </c>
      <c r="H58" s="11" t="str">
        <f t="shared" si="6"/>
        <v/>
      </c>
      <c r="I58" s="8"/>
      <c r="J58" s="8"/>
      <c r="K58" s="8"/>
      <c r="L58" s="8"/>
      <c r="M58" s="8"/>
      <c r="N58" s="8"/>
      <c r="O58" s="8"/>
      <c r="P58" s="9"/>
      <c r="Q58" s="8"/>
      <c r="R58" s="8"/>
      <c r="S58" s="8"/>
      <c r="T58" s="8"/>
      <c r="U58" s="8"/>
      <c r="V58" s="8"/>
      <c r="W58" s="8"/>
      <c r="X58" s="9"/>
      <c r="Y58" s="8"/>
      <c r="Z58" s="8"/>
      <c r="AA58" s="8"/>
      <c r="AB58" s="8"/>
      <c r="AC58" s="8"/>
      <c r="AD58" s="8"/>
      <c r="AE58" s="9"/>
      <c r="AF58" s="8"/>
      <c r="AG58" s="8"/>
      <c r="AH58" s="8"/>
      <c r="AI58" s="11" t="str">
        <f t="shared" si="7"/>
        <v/>
      </c>
      <c r="AJ58" s="11" t="str">
        <f t="shared" si="8"/>
        <v/>
      </c>
      <c r="AK58" s="11" t="str">
        <f t="shared" si="9"/>
        <v/>
      </c>
    </row>
    <row r="59" spans="1:37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</sheetData>
  <mergeCells count="1">
    <mergeCell ref="A4:J4"/>
  </mergeCells>
  <conditionalFormatting sqref="F9:F58">
    <cfRule type="containsText" dxfId="13" priority="2" operator="containsText" text="Critical"/>
  </conditionalFormatting>
  <conditionalFormatting sqref="G9:G58">
    <cfRule type="containsText" dxfId="12" priority="1" operator="containsText" text="MISSING"/>
  </conditionalFormatting>
  <dataValidations count="4">
    <dataValidation type="list" sqref="C9:C58" xr:uid="{00000000-0002-0000-0500-000000000000}">
      <formula1>WorkStatus</formula1>
    </dataValidation>
    <dataValidation type="list" sqref="O9:O58" xr:uid="{00000000-0002-0000-0500-000001000000}">
      <formula1>Criticality</formula1>
    </dataValidation>
    <dataValidation type="list" sqref="Q9:Q58" xr:uid="{00000000-0002-0000-0500-000002000000}">
      <formula1>Confidence</formula1>
    </dataValidation>
    <dataValidation type="list" sqref="W9:W58 AF9:AF58" xr:uid="{00000000-0002-0000-0500-000003000000}">
      <formula1>YesNo</formula1>
    </dataValidation>
  </dataValidations>
  <hyperlinks>
    <hyperlink ref="A6" location="'00 - START HERE'!A1" display="Start here" xr:uid="{00000000-0004-0000-05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87C78"/>
  </sheetPr>
  <dimension ref="A1:Z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14" width="20" customWidth="1"/>
    <col min="15" max="15" width="32" customWidth="1"/>
    <col min="16" max="26" width="20" customWidth="1"/>
  </cols>
  <sheetData>
    <row r="1" spans="1:26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1" customHeight="1">
      <c r="A2" s="2" t="s">
        <v>282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950000000000003" customHeight="1">
      <c r="A4" s="21" t="s">
        <v>283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4" t="s">
        <v>2</v>
      </c>
      <c r="B6" s="1"/>
      <c r="C6" s="21" t="str">
        <f>"WIP: "&amp;SUM('06 - FLOW'!$X$9:$X$58)&amp;". Acceptance queue: "&amp;SUM('06 - FLOW'!$Y$9:$Y$58)&amp;". Rework occurrences: "&amp;SUM('06 - FLOW'!$P$9:$P$58)</f>
        <v>WIP: 1. Acceptance queue: 1. Rework occurrences: 1</v>
      </c>
      <c r="D6" s="21"/>
      <c r="E6" s="21"/>
      <c r="F6" s="21"/>
      <c r="G6" s="21"/>
      <c r="H6" s="21"/>
      <c r="I6" s="21"/>
      <c r="J6" s="21"/>
      <c r="K6" s="1" t="str">
        <f>"Rows missing an ID: "&amp;SUMPRODUCT(--('06 - FLOW'!$A$9:$A$58=""),--('06 - FLOW'!$B$9:$B$58&lt;&gt;""))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.950000000000003" customHeight="1">
      <c r="A8" s="5" t="s">
        <v>131</v>
      </c>
      <c r="B8" s="5" t="s">
        <v>284</v>
      </c>
      <c r="C8" s="5" t="s">
        <v>285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239</v>
      </c>
      <c r="K8" s="5" t="s">
        <v>286</v>
      </c>
      <c r="L8" s="5" t="s">
        <v>287</v>
      </c>
      <c r="M8" s="5" t="s">
        <v>288</v>
      </c>
      <c r="N8" s="5" t="s">
        <v>289</v>
      </c>
      <c r="O8" s="5" t="s">
        <v>290</v>
      </c>
      <c r="P8" s="5" t="s">
        <v>291</v>
      </c>
      <c r="Q8" s="5" t="s">
        <v>292</v>
      </c>
      <c r="R8" s="5" t="s">
        <v>293</v>
      </c>
      <c r="S8" s="5" t="s">
        <v>212</v>
      </c>
      <c r="T8" s="5" t="s">
        <v>294</v>
      </c>
      <c r="U8" s="5" t="s">
        <v>295</v>
      </c>
      <c r="V8" s="5" t="s">
        <v>296</v>
      </c>
      <c r="W8" s="5" t="s">
        <v>297</v>
      </c>
      <c r="X8" s="5" t="s">
        <v>298</v>
      </c>
      <c r="Y8" s="5" t="s">
        <v>299</v>
      </c>
      <c r="Z8" s="5" t="s">
        <v>300</v>
      </c>
    </row>
    <row r="9" spans="1:26" ht="26.45" customHeight="1">
      <c r="A9" s="8" t="s">
        <v>301</v>
      </c>
      <c r="B9" s="8" t="s">
        <v>302</v>
      </c>
      <c r="C9" s="8" t="s">
        <v>299</v>
      </c>
      <c r="D9" s="8" t="s">
        <v>162</v>
      </c>
      <c r="E9" s="9">
        <v>46290</v>
      </c>
      <c r="F9" s="11" t="str">
        <f t="shared" ref="F9:F40" si="0">IF(A9="","",IF(FALSE,"Critical",IF(G9&lt;&gt;"","Review","Routine")))</f>
        <v>Review</v>
      </c>
      <c r="G9" s="20" t="str">
        <f>IF(A9="","",IF(COUNTIF('06 - FLOW'!$A$9:$A$58,A9)&gt;1,"DUPLICATE ID ","")&amp;IF(ReviewDate="","SET REVIEW DATE ","")&amp;IF(AND(N9="Yes",L9=""),"WAITING DATE MISSING ","")&amp;IF(AND(ISNUMBER(V9),V9&gt;=BlockDays),"BLOCKER AGE THRESHOLD ","")&amp;IF(T9&gt;=MoveCount,"REPEATED MILESTONE MOVEMENT ","")&amp;IF(AND(C9="Accepted",M9=""),"ACCEPTANCE DATE MISSING ","")&amp;IF(AND(C9&lt;&gt;"Accepted",ISNUMBER(E9),E9&lt;ReviewDate),"WORK OVERDUE ",""))</f>
        <v xml:space="preserve">BLOCKER AGE THRESHOLD REPEATED MILESTONE MOVEMENT </v>
      </c>
      <c r="H9" s="11" t="str">
        <f t="shared" ref="H9:H40" si="1">IF(A9="","",IF(G9&lt;&gt;"","Resolve the constraint and shorten the next evidence loop.",""))</f>
        <v>Resolve the constraint and shorten the next evidence loop.</v>
      </c>
      <c r="I9" s="8" t="s">
        <v>303</v>
      </c>
      <c r="J9" s="8" t="s">
        <v>304</v>
      </c>
      <c r="K9" s="9">
        <v>46275</v>
      </c>
      <c r="L9" s="9">
        <v>46283</v>
      </c>
      <c r="M9" s="9"/>
      <c r="N9" s="8" t="s">
        <v>305</v>
      </c>
      <c r="O9" s="8" t="s">
        <v>306</v>
      </c>
      <c r="P9" s="8">
        <v>1</v>
      </c>
      <c r="Q9" s="8">
        <v>3</v>
      </c>
      <c r="R9" s="8" t="s">
        <v>307</v>
      </c>
      <c r="S9" s="8" t="s">
        <v>235</v>
      </c>
      <c r="T9" s="8">
        <v>2</v>
      </c>
      <c r="U9" s="8">
        <v>0</v>
      </c>
      <c r="V9" s="11">
        <f t="shared" ref="V9:V40" si="2">IF(A9="","",IF(AND(N9="Yes",M9="",ISNUMBER(L9),ISNUMBER(ReviewDate)),MAX(0,ReviewDate-L9),""))</f>
        <v>6</v>
      </c>
      <c r="W9" s="11">
        <f t="shared" ref="W9:W40" si="3">IF(A9="","",IF(ISNUMBER(L9),MAX(0,IF(ISNUMBER(M9),M9,ReviewDate)-L9),""))</f>
        <v>6</v>
      </c>
      <c r="X9" s="11">
        <f t="shared" ref="X9:X40" si="4">IF(A9="","",IF(AND(C9&lt;&gt;"Accepted",C9&lt;&gt;"Planned"),1,0))</f>
        <v>1</v>
      </c>
      <c r="Y9" s="11">
        <f t="shared" ref="Y9:Y40" si="5">IF(A9="","",IF(C9="Acceptance queue",1,0))</f>
        <v>1</v>
      </c>
      <c r="Z9" s="11" t="str">
        <f t="shared" ref="Z9:Z40" si="6">IF(A9="","",IF(AND(ISNUMBER(U9),ISNUMBER(V9)),IF(V9&gt;U9,"Growing",IF(V9&lt;U9,"Reducing","Unchanged")),"Not comparable"))</f>
        <v>Growing</v>
      </c>
    </row>
    <row r="10" spans="1:26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IF(A10="","",IF(COUNTIF('06 - FLOW'!$A$9:$A$58,A10)&gt;1,"DUPLICATE ID ","")&amp;IF(ReviewDate="","SET REVIEW DATE ","")&amp;IF(AND(N10="Yes",L10=""),"WAITING DATE MISSING ","")&amp;IF(AND(ISNUMBER(V10),V10&gt;=BlockDays),"BLOCKER AGE THRESHOLD ","")&amp;IF(T10&gt;=MoveCount,"REPEATED MILESTONE MOVEMENT ","")&amp;IF(AND(C10="Accepted",M10=""),"ACCEPTANCE DATE MISSING ","")&amp;IF(AND(C10&lt;&gt;"Accepted",ISNUMBER(E10),E10&lt;ReviewDate),"WORK OVERDUE ",""))</f>
        <v/>
      </c>
      <c r="H10" s="11" t="str">
        <f t="shared" si="1"/>
        <v/>
      </c>
      <c r="I10" s="8"/>
      <c r="J10" s="8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11" t="str">
        <f t="shared" si="2"/>
        <v/>
      </c>
      <c r="W10" s="11" t="str">
        <f t="shared" si="3"/>
        <v/>
      </c>
      <c r="X10" s="11" t="str">
        <f t="shared" si="4"/>
        <v/>
      </c>
      <c r="Y10" s="11" t="str">
        <f t="shared" si="5"/>
        <v/>
      </c>
      <c r="Z10" s="11" t="str">
        <f t="shared" si="6"/>
        <v/>
      </c>
    </row>
    <row r="11" spans="1:26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IF(A11="","",IF(COUNTIF('06 - FLOW'!$A$9:$A$58,A11)&gt;1,"DUPLICATE ID ","")&amp;IF(ReviewDate="","SET REVIEW DATE ","")&amp;IF(AND(N11="Yes",L11=""),"WAITING DATE MISSING ","")&amp;IF(AND(ISNUMBER(V11),V11&gt;=BlockDays),"BLOCKER AGE THRESHOLD ","")&amp;IF(T11&gt;=MoveCount,"REPEATED MILESTONE MOVEMENT ","")&amp;IF(AND(C11="Accepted",M11=""),"ACCEPTANCE DATE MISSING ","")&amp;IF(AND(C11&lt;&gt;"Accepted",ISNUMBER(E11),E11&lt;ReviewDate),"WORK OVERDUE ",""))</f>
        <v/>
      </c>
      <c r="H11" s="11" t="str">
        <f t="shared" si="1"/>
        <v/>
      </c>
      <c r="I11" s="8"/>
      <c r="J11" s="8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11" t="str">
        <f t="shared" si="2"/>
        <v/>
      </c>
      <c r="W11" s="11" t="str">
        <f t="shared" si="3"/>
        <v/>
      </c>
      <c r="X11" s="11" t="str">
        <f t="shared" si="4"/>
        <v/>
      </c>
      <c r="Y11" s="11" t="str">
        <f t="shared" si="5"/>
        <v/>
      </c>
      <c r="Z11" s="11" t="str">
        <f t="shared" si="6"/>
        <v/>
      </c>
    </row>
    <row r="12" spans="1:26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IF(A12="","",IF(COUNTIF('06 - FLOW'!$A$9:$A$58,A12)&gt;1,"DUPLICATE ID ","")&amp;IF(ReviewDate="","SET REVIEW DATE ","")&amp;IF(AND(N12="Yes",L12=""),"WAITING DATE MISSING ","")&amp;IF(AND(ISNUMBER(V12),V12&gt;=BlockDays),"BLOCKER AGE THRESHOLD ","")&amp;IF(T12&gt;=MoveCount,"REPEATED MILESTONE MOVEMENT ","")&amp;IF(AND(C12="Accepted",M12=""),"ACCEPTANCE DATE MISSING ","")&amp;IF(AND(C12&lt;&gt;"Accepted",ISNUMBER(E12),E12&lt;ReviewDate),"WORK OVERDUE ",""))</f>
        <v/>
      </c>
      <c r="H12" s="11" t="str">
        <f t="shared" si="1"/>
        <v/>
      </c>
      <c r="I12" s="8"/>
      <c r="J12" s="8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11" t="str">
        <f t="shared" si="2"/>
        <v/>
      </c>
      <c r="W12" s="11" t="str">
        <f t="shared" si="3"/>
        <v/>
      </c>
      <c r="X12" s="11" t="str">
        <f t="shared" si="4"/>
        <v/>
      </c>
      <c r="Y12" s="11" t="str">
        <f t="shared" si="5"/>
        <v/>
      </c>
      <c r="Z12" s="11" t="str">
        <f t="shared" si="6"/>
        <v/>
      </c>
    </row>
    <row r="13" spans="1:26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IF(A13="","",IF(COUNTIF('06 - FLOW'!$A$9:$A$58,A13)&gt;1,"DUPLICATE ID ","")&amp;IF(ReviewDate="","SET REVIEW DATE ","")&amp;IF(AND(N13="Yes",L13=""),"WAITING DATE MISSING ","")&amp;IF(AND(ISNUMBER(V13),V13&gt;=BlockDays),"BLOCKER AGE THRESHOLD ","")&amp;IF(T13&gt;=MoveCount,"REPEATED MILESTONE MOVEMENT ","")&amp;IF(AND(C13="Accepted",M13=""),"ACCEPTANCE DATE MISSING ","")&amp;IF(AND(C13&lt;&gt;"Accepted",ISNUMBER(E13),E13&lt;ReviewDate),"WORK OVERDUE ",""))</f>
        <v/>
      </c>
      <c r="H13" s="11" t="str">
        <f t="shared" si="1"/>
        <v/>
      </c>
      <c r="I13" s="8"/>
      <c r="J13" s="8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11" t="str">
        <f t="shared" si="2"/>
        <v/>
      </c>
      <c r="W13" s="11" t="str">
        <f t="shared" si="3"/>
        <v/>
      </c>
      <c r="X13" s="11" t="str">
        <f t="shared" si="4"/>
        <v/>
      </c>
      <c r="Y13" s="11" t="str">
        <f t="shared" si="5"/>
        <v/>
      </c>
      <c r="Z13" s="11" t="str">
        <f t="shared" si="6"/>
        <v/>
      </c>
    </row>
    <row r="14" spans="1:26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IF(A14="","",IF(COUNTIF('06 - FLOW'!$A$9:$A$58,A14)&gt;1,"DUPLICATE ID ","")&amp;IF(ReviewDate="","SET REVIEW DATE ","")&amp;IF(AND(N14="Yes",L14=""),"WAITING DATE MISSING ","")&amp;IF(AND(ISNUMBER(V14),V14&gt;=BlockDays),"BLOCKER AGE THRESHOLD ","")&amp;IF(T14&gt;=MoveCount,"REPEATED MILESTONE MOVEMENT ","")&amp;IF(AND(C14="Accepted",M14=""),"ACCEPTANCE DATE MISSING ","")&amp;IF(AND(C14&lt;&gt;"Accepted",ISNUMBER(E14),E14&lt;ReviewDate),"WORK OVERDUE ",""))</f>
        <v/>
      </c>
      <c r="H14" s="11" t="str">
        <f t="shared" si="1"/>
        <v/>
      </c>
      <c r="I14" s="8"/>
      <c r="J14" s="8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11" t="str">
        <f t="shared" si="2"/>
        <v/>
      </c>
      <c r="W14" s="11" t="str">
        <f t="shared" si="3"/>
        <v/>
      </c>
      <c r="X14" s="11" t="str">
        <f t="shared" si="4"/>
        <v/>
      </c>
      <c r="Y14" s="11" t="str">
        <f t="shared" si="5"/>
        <v/>
      </c>
      <c r="Z14" s="11" t="str">
        <f t="shared" si="6"/>
        <v/>
      </c>
    </row>
    <row r="15" spans="1:26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IF(A15="","",IF(COUNTIF('06 - FLOW'!$A$9:$A$58,A15)&gt;1,"DUPLICATE ID ","")&amp;IF(ReviewDate="","SET REVIEW DATE ","")&amp;IF(AND(N15="Yes",L15=""),"WAITING DATE MISSING ","")&amp;IF(AND(ISNUMBER(V15),V15&gt;=BlockDays),"BLOCKER AGE THRESHOLD ","")&amp;IF(T15&gt;=MoveCount,"REPEATED MILESTONE MOVEMENT ","")&amp;IF(AND(C15="Accepted",M15=""),"ACCEPTANCE DATE MISSING ","")&amp;IF(AND(C15&lt;&gt;"Accepted",ISNUMBER(E15),E15&lt;ReviewDate),"WORK OVERDUE ",""))</f>
        <v/>
      </c>
      <c r="H15" s="11" t="str">
        <f t="shared" si="1"/>
        <v/>
      </c>
      <c r="I15" s="8"/>
      <c r="J15" s="8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11" t="str">
        <f t="shared" si="2"/>
        <v/>
      </c>
      <c r="W15" s="11" t="str">
        <f t="shared" si="3"/>
        <v/>
      </c>
      <c r="X15" s="11" t="str">
        <f t="shared" si="4"/>
        <v/>
      </c>
      <c r="Y15" s="11" t="str">
        <f t="shared" si="5"/>
        <v/>
      </c>
      <c r="Z15" s="11" t="str">
        <f t="shared" si="6"/>
        <v/>
      </c>
    </row>
    <row r="16" spans="1:26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IF(A16="","",IF(COUNTIF('06 - FLOW'!$A$9:$A$58,A16)&gt;1,"DUPLICATE ID ","")&amp;IF(ReviewDate="","SET REVIEW DATE ","")&amp;IF(AND(N16="Yes",L16=""),"WAITING DATE MISSING ","")&amp;IF(AND(ISNUMBER(V16),V16&gt;=BlockDays),"BLOCKER AGE THRESHOLD ","")&amp;IF(T16&gt;=MoveCount,"REPEATED MILESTONE MOVEMENT ","")&amp;IF(AND(C16="Accepted",M16=""),"ACCEPTANCE DATE MISSING ","")&amp;IF(AND(C16&lt;&gt;"Accepted",ISNUMBER(E16),E16&lt;ReviewDate),"WORK OVERDUE ",""))</f>
        <v/>
      </c>
      <c r="H16" s="11" t="str">
        <f t="shared" si="1"/>
        <v/>
      </c>
      <c r="I16" s="8"/>
      <c r="J16" s="8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11" t="str">
        <f t="shared" si="2"/>
        <v/>
      </c>
      <c r="W16" s="11" t="str">
        <f t="shared" si="3"/>
        <v/>
      </c>
      <c r="X16" s="11" t="str">
        <f t="shared" si="4"/>
        <v/>
      </c>
      <c r="Y16" s="11" t="str">
        <f t="shared" si="5"/>
        <v/>
      </c>
      <c r="Z16" s="11" t="str">
        <f t="shared" si="6"/>
        <v/>
      </c>
    </row>
    <row r="17" spans="1:26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IF(A17="","",IF(COUNTIF('06 - FLOW'!$A$9:$A$58,A17)&gt;1,"DUPLICATE ID ","")&amp;IF(ReviewDate="","SET REVIEW DATE ","")&amp;IF(AND(N17="Yes",L17=""),"WAITING DATE MISSING ","")&amp;IF(AND(ISNUMBER(V17),V17&gt;=BlockDays),"BLOCKER AGE THRESHOLD ","")&amp;IF(T17&gt;=MoveCount,"REPEATED MILESTONE MOVEMENT ","")&amp;IF(AND(C17="Accepted",M17=""),"ACCEPTANCE DATE MISSING ","")&amp;IF(AND(C17&lt;&gt;"Accepted",ISNUMBER(E17),E17&lt;ReviewDate),"WORK OVERDUE ",""))</f>
        <v/>
      </c>
      <c r="H17" s="11" t="str">
        <f t="shared" si="1"/>
        <v/>
      </c>
      <c r="I17" s="8"/>
      <c r="J17" s="8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11" t="str">
        <f t="shared" si="2"/>
        <v/>
      </c>
      <c r="W17" s="11" t="str">
        <f t="shared" si="3"/>
        <v/>
      </c>
      <c r="X17" s="11" t="str">
        <f t="shared" si="4"/>
        <v/>
      </c>
      <c r="Y17" s="11" t="str">
        <f t="shared" si="5"/>
        <v/>
      </c>
      <c r="Z17" s="11" t="str">
        <f t="shared" si="6"/>
        <v/>
      </c>
    </row>
    <row r="18" spans="1:26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IF(A18="","",IF(COUNTIF('06 - FLOW'!$A$9:$A$58,A18)&gt;1,"DUPLICATE ID ","")&amp;IF(ReviewDate="","SET REVIEW DATE ","")&amp;IF(AND(N18="Yes",L18=""),"WAITING DATE MISSING ","")&amp;IF(AND(ISNUMBER(V18),V18&gt;=BlockDays),"BLOCKER AGE THRESHOLD ","")&amp;IF(T18&gt;=MoveCount,"REPEATED MILESTONE MOVEMENT ","")&amp;IF(AND(C18="Accepted",M18=""),"ACCEPTANCE DATE MISSING ","")&amp;IF(AND(C18&lt;&gt;"Accepted",ISNUMBER(E18),E18&lt;ReviewDate),"WORK OVERDUE ",""))</f>
        <v/>
      </c>
      <c r="H18" s="11" t="str">
        <f t="shared" si="1"/>
        <v/>
      </c>
      <c r="I18" s="8"/>
      <c r="J18" s="8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11" t="str">
        <f t="shared" si="2"/>
        <v/>
      </c>
      <c r="W18" s="11" t="str">
        <f t="shared" si="3"/>
        <v/>
      </c>
      <c r="X18" s="11" t="str">
        <f t="shared" si="4"/>
        <v/>
      </c>
      <c r="Y18" s="11" t="str">
        <f t="shared" si="5"/>
        <v/>
      </c>
      <c r="Z18" s="11" t="str">
        <f t="shared" si="6"/>
        <v/>
      </c>
    </row>
    <row r="19" spans="1:26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IF(A19="","",IF(COUNTIF('06 - FLOW'!$A$9:$A$58,A19)&gt;1,"DUPLICATE ID ","")&amp;IF(ReviewDate="","SET REVIEW DATE ","")&amp;IF(AND(N19="Yes",L19=""),"WAITING DATE MISSING ","")&amp;IF(AND(ISNUMBER(V19),V19&gt;=BlockDays),"BLOCKER AGE THRESHOLD ","")&amp;IF(T19&gt;=MoveCount,"REPEATED MILESTONE MOVEMENT ","")&amp;IF(AND(C19="Accepted",M19=""),"ACCEPTANCE DATE MISSING ","")&amp;IF(AND(C19&lt;&gt;"Accepted",ISNUMBER(E19),E19&lt;ReviewDate),"WORK OVERDUE ",""))</f>
        <v/>
      </c>
      <c r="H19" s="11" t="str">
        <f t="shared" si="1"/>
        <v/>
      </c>
      <c r="I19" s="8"/>
      <c r="J19" s="8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11" t="str">
        <f t="shared" si="2"/>
        <v/>
      </c>
      <c r="W19" s="11" t="str">
        <f t="shared" si="3"/>
        <v/>
      </c>
      <c r="X19" s="11" t="str">
        <f t="shared" si="4"/>
        <v/>
      </c>
      <c r="Y19" s="11" t="str">
        <f t="shared" si="5"/>
        <v/>
      </c>
      <c r="Z19" s="11" t="str">
        <f t="shared" si="6"/>
        <v/>
      </c>
    </row>
    <row r="20" spans="1:26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IF(A20="","",IF(COUNTIF('06 - FLOW'!$A$9:$A$58,A20)&gt;1,"DUPLICATE ID ","")&amp;IF(ReviewDate="","SET REVIEW DATE ","")&amp;IF(AND(N20="Yes",L20=""),"WAITING DATE MISSING ","")&amp;IF(AND(ISNUMBER(V20),V20&gt;=BlockDays),"BLOCKER AGE THRESHOLD ","")&amp;IF(T20&gt;=MoveCount,"REPEATED MILESTONE MOVEMENT ","")&amp;IF(AND(C20="Accepted",M20=""),"ACCEPTANCE DATE MISSING ","")&amp;IF(AND(C20&lt;&gt;"Accepted",ISNUMBER(E20),E20&lt;ReviewDate),"WORK OVERDUE ",""))</f>
        <v/>
      </c>
      <c r="H20" s="11" t="str">
        <f t="shared" si="1"/>
        <v/>
      </c>
      <c r="I20" s="8"/>
      <c r="J20" s="8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11" t="str">
        <f t="shared" si="2"/>
        <v/>
      </c>
      <c r="W20" s="11" t="str">
        <f t="shared" si="3"/>
        <v/>
      </c>
      <c r="X20" s="11" t="str">
        <f t="shared" si="4"/>
        <v/>
      </c>
      <c r="Y20" s="11" t="str">
        <f t="shared" si="5"/>
        <v/>
      </c>
      <c r="Z20" s="11" t="str">
        <f t="shared" si="6"/>
        <v/>
      </c>
    </row>
    <row r="21" spans="1:26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IF(A21="","",IF(COUNTIF('06 - FLOW'!$A$9:$A$58,A21)&gt;1,"DUPLICATE ID ","")&amp;IF(ReviewDate="","SET REVIEW DATE ","")&amp;IF(AND(N21="Yes",L21=""),"WAITING DATE MISSING ","")&amp;IF(AND(ISNUMBER(V21),V21&gt;=BlockDays),"BLOCKER AGE THRESHOLD ","")&amp;IF(T21&gt;=MoveCount,"REPEATED MILESTONE MOVEMENT ","")&amp;IF(AND(C21="Accepted",M21=""),"ACCEPTANCE DATE MISSING ","")&amp;IF(AND(C21&lt;&gt;"Accepted",ISNUMBER(E21),E21&lt;ReviewDate),"WORK OVERDUE ",""))</f>
        <v/>
      </c>
      <c r="H21" s="11" t="str">
        <f t="shared" si="1"/>
        <v/>
      </c>
      <c r="I21" s="8"/>
      <c r="J21" s="8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11" t="str">
        <f t="shared" si="2"/>
        <v/>
      </c>
      <c r="W21" s="11" t="str">
        <f t="shared" si="3"/>
        <v/>
      </c>
      <c r="X21" s="11" t="str">
        <f t="shared" si="4"/>
        <v/>
      </c>
      <c r="Y21" s="11" t="str">
        <f t="shared" si="5"/>
        <v/>
      </c>
      <c r="Z21" s="11" t="str">
        <f t="shared" si="6"/>
        <v/>
      </c>
    </row>
    <row r="22" spans="1:26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IF(A22="","",IF(COUNTIF('06 - FLOW'!$A$9:$A$58,A22)&gt;1,"DUPLICATE ID ","")&amp;IF(ReviewDate="","SET REVIEW DATE ","")&amp;IF(AND(N22="Yes",L22=""),"WAITING DATE MISSING ","")&amp;IF(AND(ISNUMBER(V22),V22&gt;=BlockDays),"BLOCKER AGE THRESHOLD ","")&amp;IF(T22&gt;=MoveCount,"REPEATED MILESTONE MOVEMENT ","")&amp;IF(AND(C22="Accepted",M22=""),"ACCEPTANCE DATE MISSING ","")&amp;IF(AND(C22&lt;&gt;"Accepted",ISNUMBER(E22),E22&lt;ReviewDate),"WORK OVERDUE ",""))</f>
        <v/>
      </c>
      <c r="H22" s="11" t="str">
        <f t="shared" si="1"/>
        <v/>
      </c>
      <c r="I22" s="8"/>
      <c r="J22" s="8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11" t="str">
        <f t="shared" si="2"/>
        <v/>
      </c>
      <c r="W22" s="11" t="str">
        <f t="shared" si="3"/>
        <v/>
      </c>
      <c r="X22" s="11" t="str">
        <f t="shared" si="4"/>
        <v/>
      </c>
      <c r="Y22" s="11" t="str">
        <f t="shared" si="5"/>
        <v/>
      </c>
      <c r="Z22" s="11" t="str">
        <f t="shared" si="6"/>
        <v/>
      </c>
    </row>
    <row r="23" spans="1:26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IF(A23="","",IF(COUNTIF('06 - FLOW'!$A$9:$A$58,A23)&gt;1,"DUPLICATE ID ","")&amp;IF(ReviewDate="","SET REVIEW DATE ","")&amp;IF(AND(N23="Yes",L23=""),"WAITING DATE MISSING ","")&amp;IF(AND(ISNUMBER(V23),V23&gt;=BlockDays),"BLOCKER AGE THRESHOLD ","")&amp;IF(T23&gt;=MoveCount,"REPEATED MILESTONE MOVEMENT ","")&amp;IF(AND(C23="Accepted",M23=""),"ACCEPTANCE DATE MISSING ","")&amp;IF(AND(C23&lt;&gt;"Accepted",ISNUMBER(E23),E23&lt;ReviewDate),"WORK OVERDUE ",""))</f>
        <v/>
      </c>
      <c r="H23" s="11" t="str">
        <f t="shared" si="1"/>
        <v/>
      </c>
      <c r="I23" s="8"/>
      <c r="J23" s="8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11" t="str">
        <f t="shared" si="2"/>
        <v/>
      </c>
      <c r="W23" s="11" t="str">
        <f t="shared" si="3"/>
        <v/>
      </c>
      <c r="X23" s="11" t="str">
        <f t="shared" si="4"/>
        <v/>
      </c>
      <c r="Y23" s="11" t="str">
        <f t="shared" si="5"/>
        <v/>
      </c>
      <c r="Z23" s="11" t="str">
        <f t="shared" si="6"/>
        <v/>
      </c>
    </row>
    <row r="24" spans="1:26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IF(A24="","",IF(COUNTIF('06 - FLOW'!$A$9:$A$58,A24)&gt;1,"DUPLICATE ID ","")&amp;IF(ReviewDate="","SET REVIEW DATE ","")&amp;IF(AND(N24="Yes",L24=""),"WAITING DATE MISSING ","")&amp;IF(AND(ISNUMBER(V24),V24&gt;=BlockDays),"BLOCKER AGE THRESHOLD ","")&amp;IF(T24&gt;=MoveCount,"REPEATED MILESTONE MOVEMENT ","")&amp;IF(AND(C24="Accepted",M24=""),"ACCEPTANCE DATE MISSING ","")&amp;IF(AND(C24&lt;&gt;"Accepted",ISNUMBER(E24),E24&lt;ReviewDate),"WORK OVERDUE ",""))</f>
        <v/>
      </c>
      <c r="H24" s="11" t="str">
        <f t="shared" si="1"/>
        <v/>
      </c>
      <c r="I24" s="8"/>
      <c r="J24" s="8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11" t="str">
        <f t="shared" si="2"/>
        <v/>
      </c>
      <c r="W24" s="11" t="str">
        <f t="shared" si="3"/>
        <v/>
      </c>
      <c r="X24" s="11" t="str">
        <f t="shared" si="4"/>
        <v/>
      </c>
      <c r="Y24" s="11" t="str">
        <f t="shared" si="5"/>
        <v/>
      </c>
      <c r="Z24" s="11" t="str">
        <f t="shared" si="6"/>
        <v/>
      </c>
    </row>
    <row r="25" spans="1:26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IF(A25="","",IF(COUNTIF('06 - FLOW'!$A$9:$A$58,A25)&gt;1,"DUPLICATE ID ","")&amp;IF(ReviewDate="","SET REVIEW DATE ","")&amp;IF(AND(N25="Yes",L25=""),"WAITING DATE MISSING ","")&amp;IF(AND(ISNUMBER(V25),V25&gt;=BlockDays),"BLOCKER AGE THRESHOLD ","")&amp;IF(T25&gt;=MoveCount,"REPEATED MILESTONE MOVEMENT ","")&amp;IF(AND(C25="Accepted",M25=""),"ACCEPTANCE DATE MISSING ","")&amp;IF(AND(C25&lt;&gt;"Accepted",ISNUMBER(E25),E25&lt;ReviewDate),"WORK OVERDUE ",""))</f>
        <v/>
      </c>
      <c r="H25" s="11" t="str">
        <f t="shared" si="1"/>
        <v/>
      </c>
      <c r="I25" s="8"/>
      <c r="J25" s="8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11" t="str">
        <f t="shared" si="2"/>
        <v/>
      </c>
      <c r="W25" s="11" t="str">
        <f t="shared" si="3"/>
        <v/>
      </c>
      <c r="X25" s="11" t="str">
        <f t="shared" si="4"/>
        <v/>
      </c>
      <c r="Y25" s="11" t="str">
        <f t="shared" si="5"/>
        <v/>
      </c>
      <c r="Z25" s="11" t="str">
        <f t="shared" si="6"/>
        <v/>
      </c>
    </row>
    <row r="26" spans="1:26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IF(A26="","",IF(COUNTIF('06 - FLOW'!$A$9:$A$58,A26)&gt;1,"DUPLICATE ID ","")&amp;IF(ReviewDate="","SET REVIEW DATE ","")&amp;IF(AND(N26="Yes",L26=""),"WAITING DATE MISSING ","")&amp;IF(AND(ISNUMBER(V26),V26&gt;=BlockDays),"BLOCKER AGE THRESHOLD ","")&amp;IF(T26&gt;=MoveCount,"REPEATED MILESTONE MOVEMENT ","")&amp;IF(AND(C26="Accepted",M26=""),"ACCEPTANCE DATE MISSING ","")&amp;IF(AND(C26&lt;&gt;"Accepted",ISNUMBER(E26),E26&lt;ReviewDate),"WORK OVERDUE ",""))</f>
        <v/>
      </c>
      <c r="H26" s="11" t="str">
        <f t="shared" si="1"/>
        <v/>
      </c>
      <c r="I26" s="8"/>
      <c r="J26" s="8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11" t="str">
        <f t="shared" si="2"/>
        <v/>
      </c>
      <c r="W26" s="11" t="str">
        <f t="shared" si="3"/>
        <v/>
      </c>
      <c r="X26" s="11" t="str">
        <f t="shared" si="4"/>
        <v/>
      </c>
      <c r="Y26" s="11" t="str">
        <f t="shared" si="5"/>
        <v/>
      </c>
      <c r="Z26" s="11" t="str">
        <f t="shared" si="6"/>
        <v/>
      </c>
    </row>
    <row r="27" spans="1:26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IF(A27="","",IF(COUNTIF('06 - FLOW'!$A$9:$A$58,A27)&gt;1,"DUPLICATE ID ","")&amp;IF(ReviewDate="","SET REVIEW DATE ","")&amp;IF(AND(N27="Yes",L27=""),"WAITING DATE MISSING ","")&amp;IF(AND(ISNUMBER(V27),V27&gt;=BlockDays),"BLOCKER AGE THRESHOLD ","")&amp;IF(T27&gt;=MoveCount,"REPEATED MILESTONE MOVEMENT ","")&amp;IF(AND(C27="Accepted",M27=""),"ACCEPTANCE DATE MISSING ","")&amp;IF(AND(C27&lt;&gt;"Accepted",ISNUMBER(E27),E27&lt;ReviewDate),"WORK OVERDUE ",""))</f>
        <v/>
      </c>
      <c r="H27" s="11" t="str">
        <f t="shared" si="1"/>
        <v/>
      </c>
      <c r="I27" s="8"/>
      <c r="J27" s="8"/>
      <c r="K27" s="9"/>
      <c r="L27" s="9"/>
      <c r="M27" s="9"/>
      <c r="N27" s="8"/>
      <c r="O27" s="8"/>
      <c r="P27" s="8"/>
      <c r="Q27" s="8"/>
      <c r="R27" s="8"/>
      <c r="S27" s="8"/>
      <c r="T27" s="8"/>
      <c r="U27" s="8"/>
      <c r="V27" s="11" t="str">
        <f t="shared" si="2"/>
        <v/>
      </c>
      <c r="W27" s="11" t="str">
        <f t="shared" si="3"/>
        <v/>
      </c>
      <c r="X27" s="11" t="str">
        <f t="shared" si="4"/>
        <v/>
      </c>
      <c r="Y27" s="11" t="str">
        <f t="shared" si="5"/>
        <v/>
      </c>
      <c r="Z27" s="11" t="str">
        <f t="shared" si="6"/>
        <v/>
      </c>
    </row>
    <row r="28" spans="1:26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IF(A28="","",IF(COUNTIF('06 - FLOW'!$A$9:$A$58,A28)&gt;1,"DUPLICATE ID ","")&amp;IF(ReviewDate="","SET REVIEW DATE ","")&amp;IF(AND(N28="Yes",L28=""),"WAITING DATE MISSING ","")&amp;IF(AND(ISNUMBER(V28),V28&gt;=BlockDays),"BLOCKER AGE THRESHOLD ","")&amp;IF(T28&gt;=MoveCount,"REPEATED MILESTONE MOVEMENT ","")&amp;IF(AND(C28="Accepted",M28=""),"ACCEPTANCE DATE MISSING ","")&amp;IF(AND(C28&lt;&gt;"Accepted",ISNUMBER(E28),E28&lt;ReviewDate),"WORK OVERDUE ",""))</f>
        <v/>
      </c>
      <c r="H28" s="11" t="str">
        <f t="shared" si="1"/>
        <v/>
      </c>
      <c r="I28" s="8"/>
      <c r="J28" s="8"/>
      <c r="K28" s="9"/>
      <c r="L28" s="9"/>
      <c r="M28" s="9"/>
      <c r="N28" s="8"/>
      <c r="O28" s="8"/>
      <c r="P28" s="8"/>
      <c r="Q28" s="8"/>
      <c r="R28" s="8"/>
      <c r="S28" s="8"/>
      <c r="T28" s="8"/>
      <c r="U28" s="8"/>
      <c r="V28" s="11" t="str">
        <f t="shared" si="2"/>
        <v/>
      </c>
      <c r="W28" s="11" t="str">
        <f t="shared" si="3"/>
        <v/>
      </c>
      <c r="X28" s="11" t="str">
        <f t="shared" si="4"/>
        <v/>
      </c>
      <c r="Y28" s="11" t="str">
        <f t="shared" si="5"/>
        <v/>
      </c>
      <c r="Z28" s="11" t="str">
        <f t="shared" si="6"/>
        <v/>
      </c>
    </row>
    <row r="29" spans="1:26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IF(A29="","",IF(COUNTIF('06 - FLOW'!$A$9:$A$58,A29)&gt;1,"DUPLICATE ID ","")&amp;IF(ReviewDate="","SET REVIEW DATE ","")&amp;IF(AND(N29="Yes",L29=""),"WAITING DATE MISSING ","")&amp;IF(AND(ISNUMBER(V29),V29&gt;=BlockDays),"BLOCKER AGE THRESHOLD ","")&amp;IF(T29&gt;=MoveCount,"REPEATED MILESTONE MOVEMENT ","")&amp;IF(AND(C29="Accepted",M29=""),"ACCEPTANCE DATE MISSING ","")&amp;IF(AND(C29&lt;&gt;"Accepted",ISNUMBER(E29),E29&lt;ReviewDate),"WORK OVERDUE ",""))</f>
        <v/>
      </c>
      <c r="H29" s="11" t="str">
        <f t="shared" si="1"/>
        <v/>
      </c>
      <c r="I29" s="8"/>
      <c r="J29" s="8"/>
      <c r="K29" s="9"/>
      <c r="L29" s="9"/>
      <c r="M29" s="9"/>
      <c r="N29" s="8"/>
      <c r="O29" s="8"/>
      <c r="P29" s="8"/>
      <c r="Q29" s="8"/>
      <c r="R29" s="8"/>
      <c r="S29" s="8"/>
      <c r="T29" s="8"/>
      <c r="U29" s="8"/>
      <c r="V29" s="11" t="str">
        <f t="shared" si="2"/>
        <v/>
      </c>
      <c r="W29" s="11" t="str">
        <f t="shared" si="3"/>
        <v/>
      </c>
      <c r="X29" s="11" t="str">
        <f t="shared" si="4"/>
        <v/>
      </c>
      <c r="Y29" s="11" t="str">
        <f t="shared" si="5"/>
        <v/>
      </c>
      <c r="Z29" s="11" t="str">
        <f t="shared" si="6"/>
        <v/>
      </c>
    </row>
    <row r="30" spans="1:26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IF(A30="","",IF(COUNTIF('06 - FLOW'!$A$9:$A$58,A30)&gt;1,"DUPLICATE ID ","")&amp;IF(ReviewDate="","SET REVIEW DATE ","")&amp;IF(AND(N30="Yes",L30=""),"WAITING DATE MISSING ","")&amp;IF(AND(ISNUMBER(V30),V30&gt;=BlockDays),"BLOCKER AGE THRESHOLD ","")&amp;IF(T30&gt;=MoveCount,"REPEATED MILESTONE MOVEMENT ","")&amp;IF(AND(C30="Accepted",M30=""),"ACCEPTANCE DATE MISSING ","")&amp;IF(AND(C30&lt;&gt;"Accepted",ISNUMBER(E30),E30&lt;ReviewDate),"WORK OVERDUE ",""))</f>
        <v/>
      </c>
      <c r="H30" s="11" t="str">
        <f t="shared" si="1"/>
        <v/>
      </c>
      <c r="I30" s="8"/>
      <c r="J30" s="8"/>
      <c r="K30" s="9"/>
      <c r="L30" s="9"/>
      <c r="M30" s="9"/>
      <c r="N30" s="8"/>
      <c r="O30" s="8"/>
      <c r="P30" s="8"/>
      <c r="Q30" s="8"/>
      <c r="R30" s="8"/>
      <c r="S30" s="8"/>
      <c r="T30" s="8"/>
      <c r="U30" s="8"/>
      <c r="V30" s="11" t="str">
        <f t="shared" si="2"/>
        <v/>
      </c>
      <c r="W30" s="11" t="str">
        <f t="shared" si="3"/>
        <v/>
      </c>
      <c r="X30" s="11" t="str">
        <f t="shared" si="4"/>
        <v/>
      </c>
      <c r="Y30" s="11" t="str">
        <f t="shared" si="5"/>
        <v/>
      </c>
      <c r="Z30" s="11" t="str">
        <f t="shared" si="6"/>
        <v/>
      </c>
    </row>
    <row r="31" spans="1:26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IF(A31="","",IF(COUNTIF('06 - FLOW'!$A$9:$A$58,A31)&gt;1,"DUPLICATE ID ","")&amp;IF(ReviewDate="","SET REVIEW DATE ","")&amp;IF(AND(N31="Yes",L31=""),"WAITING DATE MISSING ","")&amp;IF(AND(ISNUMBER(V31),V31&gt;=BlockDays),"BLOCKER AGE THRESHOLD ","")&amp;IF(T31&gt;=MoveCount,"REPEATED MILESTONE MOVEMENT ","")&amp;IF(AND(C31="Accepted",M31=""),"ACCEPTANCE DATE MISSING ","")&amp;IF(AND(C31&lt;&gt;"Accepted",ISNUMBER(E31),E31&lt;ReviewDate),"WORK OVERDUE ",""))</f>
        <v/>
      </c>
      <c r="H31" s="11" t="str">
        <f t="shared" si="1"/>
        <v/>
      </c>
      <c r="I31" s="8"/>
      <c r="J31" s="8"/>
      <c r="K31" s="9"/>
      <c r="L31" s="9"/>
      <c r="M31" s="9"/>
      <c r="N31" s="8"/>
      <c r="O31" s="8"/>
      <c r="P31" s="8"/>
      <c r="Q31" s="8"/>
      <c r="R31" s="8"/>
      <c r="S31" s="8"/>
      <c r="T31" s="8"/>
      <c r="U31" s="8"/>
      <c r="V31" s="11" t="str">
        <f t="shared" si="2"/>
        <v/>
      </c>
      <c r="W31" s="11" t="str">
        <f t="shared" si="3"/>
        <v/>
      </c>
      <c r="X31" s="11" t="str">
        <f t="shared" si="4"/>
        <v/>
      </c>
      <c r="Y31" s="11" t="str">
        <f t="shared" si="5"/>
        <v/>
      </c>
      <c r="Z31" s="11" t="str">
        <f t="shared" si="6"/>
        <v/>
      </c>
    </row>
    <row r="32" spans="1:26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IF(A32="","",IF(COUNTIF('06 - FLOW'!$A$9:$A$58,A32)&gt;1,"DUPLICATE ID ","")&amp;IF(ReviewDate="","SET REVIEW DATE ","")&amp;IF(AND(N32="Yes",L32=""),"WAITING DATE MISSING ","")&amp;IF(AND(ISNUMBER(V32),V32&gt;=BlockDays),"BLOCKER AGE THRESHOLD ","")&amp;IF(T32&gt;=MoveCount,"REPEATED MILESTONE MOVEMENT ","")&amp;IF(AND(C32="Accepted",M32=""),"ACCEPTANCE DATE MISSING ","")&amp;IF(AND(C32&lt;&gt;"Accepted",ISNUMBER(E32),E32&lt;ReviewDate),"WORK OVERDUE ",""))</f>
        <v/>
      </c>
      <c r="H32" s="11" t="str">
        <f t="shared" si="1"/>
        <v/>
      </c>
      <c r="I32" s="8"/>
      <c r="J32" s="8"/>
      <c r="K32" s="9"/>
      <c r="L32" s="9"/>
      <c r="M32" s="9"/>
      <c r="N32" s="8"/>
      <c r="O32" s="8"/>
      <c r="P32" s="8"/>
      <c r="Q32" s="8"/>
      <c r="R32" s="8"/>
      <c r="S32" s="8"/>
      <c r="T32" s="8"/>
      <c r="U32" s="8"/>
      <c r="V32" s="11" t="str">
        <f t="shared" si="2"/>
        <v/>
      </c>
      <c r="W32" s="11" t="str">
        <f t="shared" si="3"/>
        <v/>
      </c>
      <c r="X32" s="11" t="str">
        <f t="shared" si="4"/>
        <v/>
      </c>
      <c r="Y32" s="11" t="str">
        <f t="shared" si="5"/>
        <v/>
      </c>
      <c r="Z32" s="11" t="str">
        <f t="shared" si="6"/>
        <v/>
      </c>
    </row>
    <row r="33" spans="1:26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IF(A33="","",IF(COUNTIF('06 - FLOW'!$A$9:$A$58,A33)&gt;1,"DUPLICATE ID ","")&amp;IF(ReviewDate="","SET REVIEW DATE ","")&amp;IF(AND(N33="Yes",L33=""),"WAITING DATE MISSING ","")&amp;IF(AND(ISNUMBER(V33),V33&gt;=BlockDays),"BLOCKER AGE THRESHOLD ","")&amp;IF(T33&gt;=MoveCount,"REPEATED MILESTONE MOVEMENT ","")&amp;IF(AND(C33="Accepted",M33=""),"ACCEPTANCE DATE MISSING ","")&amp;IF(AND(C33&lt;&gt;"Accepted",ISNUMBER(E33),E33&lt;ReviewDate),"WORK OVERDUE ",""))</f>
        <v/>
      </c>
      <c r="H33" s="11" t="str">
        <f t="shared" si="1"/>
        <v/>
      </c>
      <c r="I33" s="8"/>
      <c r="J33" s="8"/>
      <c r="K33" s="9"/>
      <c r="L33" s="9"/>
      <c r="M33" s="9"/>
      <c r="N33" s="8"/>
      <c r="O33" s="8"/>
      <c r="P33" s="8"/>
      <c r="Q33" s="8"/>
      <c r="R33" s="8"/>
      <c r="S33" s="8"/>
      <c r="T33" s="8"/>
      <c r="U33" s="8"/>
      <c r="V33" s="11" t="str">
        <f t="shared" si="2"/>
        <v/>
      </c>
      <c r="W33" s="11" t="str">
        <f t="shared" si="3"/>
        <v/>
      </c>
      <c r="X33" s="11" t="str">
        <f t="shared" si="4"/>
        <v/>
      </c>
      <c r="Y33" s="11" t="str">
        <f t="shared" si="5"/>
        <v/>
      </c>
      <c r="Z33" s="11" t="str">
        <f t="shared" si="6"/>
        <v/>
      </c>
    </row>
    <row r="34" spans="1:26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IF(A34="","",IF(COUNTIF('06 - FLOW'!$A$9:$A$58,A34)&gt;1,"DUPLICATE ID ","")&amp;IF(ReviewDate="","SET REVIEW DATE ","")&amp;IF(AND(N34="Yes",L34=""),"WAITING DATE MISSING ","")&amp;IF(AND(ISNUMBER(V34),V34&gt;=BlockDays),"BLOCKER AGE THRESHOLD ","")&amp;IF(T34&gt;=MoveCount,"REPEATED MILESTONE MOVEMENT ","")&amp;IF(AND(C34="Accepted",M34=""),"ACCEPTANCE DATE MISSING ","")&amp;IF(AND(C34&lt;&gt;"Accepted",ISNUMBER(E34),E34&lt;ReviewDate),"WORK OVERDUE ",""))</f>
        <v/>
      </c>
      <c r="H34" s="11" t="str">
        <f t="shared" si="1"/>
        <v/>
      </c>
      <c r="I34" s="8"/>
      <c r="J34" s="8"/>
      <c r="K34" s="9"/>
      <c r="L34" s="9"/>
      <c r="M34" s="9"/>
      <c r="N34" s="8"/>
      <c r="O34" s="8"/>
      <c r="P34" s="8"/>
      <c r="Q34" s="8"/>
      <c r="R34" s="8"/>
      <c r="S34" s="8"/>
      <c r="T34" s="8"/>
      <c r="U34" s="8"/>
      <c r="V34" s="11" t="str">
        <f t="shared" si="2"/>
        <v/>
      </c>
      <c r="W34" s="11" t="str">
        <f t="shared" si="3"/>
        <v/>
      </c>
      <c r="X34" s="11" t="str">
        <f t="shared" si="4"/>
        <v/>
      </c>
      <c r="Y34" s="11" t="str">
        <f t="shared" si="5"/>
        <v/>
      </c>
      <c r="Z34" s="11" t="str">
        <f t="shared" si="6"/>
        <v/>
      </c>
    </row>
    <row r="35" spans="1:26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IF(A35="","",IF(COUNTIF('06 - FLOW'!$A$9:$A$58,A35)&gt;1,"DUPLICATE ID ","")&amp;IF(ReviewDate="","SET REVIEW DATE ","")&amp;IF(AND(N35="Yes",L35=""),"WAITING DATE MISSING ","")&amp;IF(AND(ISNUMBER(V35),V35&gt;=BlockDays),"BLOCKER AGE THRESHOLD ","")&amp;IF(T35&gt;=MoveCount,"REPEATED MILESTONE MOVEMENT ","")&amp;IF(AND(C35="Accepted",M35=""),"ACCEPTANCE DATE MISSING ","")&amp;IF(AND(C35&lt;&gt;"Accepted",ISNUMBER(E35),E35&lt;ReviewDate),"WORK OVERDUE ",""))</f>
        <v/>
      </c>
      <c r="H35" s="11" t="str">
        <f t="shared" si="1"/>
        <v/>
      </c>
      <c r="I35" s="8"/>
      <c r="J35" s="8"/>
      <c r="K35" s="9"/>
      <c r="L35" s="9"/>
      <c r="M35" s="9"/>
      <c r="N35" s="8"/>
      <c r="O35" s="8"/>
      <c r="P35" s="8"/>
      <c r="Q35" s="8"/>
      <c r="R35" s="8"/>
      <c r="S35" s="8"/>
      <c r="T35" s="8"/>
      <c r="U35" s="8"/>
      <c r="V35" s="11" t="str">
        <f t="shared" si="2"/>
        <v/>
      </c>
      <c r="W35" s="11" t="str">
        <f t="shared" si="3"/>
        <v/>
      </c>
      <c r="X35" s="11" t="str">
        <f t="shared" si="4"/>
        <v/>
      </c>
      <c r="Y35" s="11" t="str">
        <f t="shared" si="5"/>
        <v/>
      </c>
      <c r="Z35" s="11" t="str">
        <f t="shared" si="6"/>
        <v/>
      </c>
    </row>
    <row r="36" spans="1:26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IF(A36="","",IF(COUNTIF('06 - FLOW'!$A$9:$A$58,A36)&gt;1,"DUPLICATE ID ","")&amp;IF(ReviewDate="","SET REVIEW DATE ","")&amp;IF(AND(N36="Yes",L36=""),"WAITING DATE MISSING ","")&amp;IF(AND(ISNUMBER(V36),V36&gt;=BlockDays),"BLOCKER AGE THRESHOLD ","")&amp;IF(T36&gt;=MoveCount,"REPEATED MILESTONE MOVEMENT ","")&amp;IF(AND(C36="Accepted",M36=""),"ACCEPTANCE DATE MISSING ","")&amp;IF(AND(C36&lt;&gt;"Accepted",ISNUMBER(E36),E36&lt;ReviewDate),"WORK OVERDUE ",""))</f>
        <v/>
      </c>
      <c r="H36" s="11" t="str">
        <f t="shared" si="1"/>
        <v/>
      </c>
      <c r="I36" s="8"/>
      <c r="J36" s="8"/>
      <c r="K36" s="9"/>
      <c r="L36" s="9"/>
      <c r="M36" s="9"/>
      <c r="N36" s="8"/>
      <c r="O36" s="8"/>
      <c r="P36" s="8"/>
      <c r="Q36" s="8"/>
      <c r="R36" s="8"/>
      <c r="S36" s="8"/>
      <c r="T36" s="8"/>
      <c r="U36" s="8"/>
      <c r="V36" s="11" t="str">
        <f t="shared" si="2"/>
        <v/>
      </c>
      <c r="W36" s="11" t="str">
        <f t="shared" si="3"/>
        <v/>
      </c>
      <c r="X36" s="11" t="str">
        <f t="shared" si="4"/>
        <v/>
      </c>
      <c r="Y36" s="11" t="str">
        <f t="shared" si="5"/>
        <v/>
      </c>
      <c r="Z36" s="11" t="str">
        <f t="shared" si="6"/>
        <v/>
      </c>
    </row>
    <row r="37" spans="1:26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IF(A37="","",IF(COUNTIF('06 - FLOW'!$A$9:$A$58,A37)&gt;1,"DUPLICATE ID ","")&amp;IF(ReviewDate="","SET REVIEW DATE ","")&amp;IF(AND(N37="Yes",L37=""),"WAITING DATE MISSING ","")&amp;IF(AND(ISNUMBER(V37),V37&gt;=BlockDays),"BLOCKER AGE THRESHOLD ","")&amp;IF(T37&gt;=MoveCount,"REPEATED MILESTONE MOVEMENT ","")&amp;IF(AND(C37="Accepted",M37=""),"ACCEPTANCE DATE MISSING ","")&amp;IF(AND(C37&lt;&gt;"Accepted",ISNUMBER(E37),E37&lt;ReviewDate),"WORK OVERDUE ",""))</f>
        <v/>
      </c>
      <c r="H37" s="11" t="str">
        <f t="shared" si="1"/>
        <v/>
      </c>
      <c r="I37" s="8"/>
      <c r="J37" s="8"/>
      <c r="K37" s="9"/>
      <c r="L37" s="9"/>
      <c r="M37" s="9"/>
      <c r="N37" s="8"/>
      <c r="O37" s="8"/>
      <c r="P37" s="8"/>
      <c r="Q37" s="8"/>
      <c r="R37" s="8"/>
      <c r="S37" s="8"/>
      <c r="T37" s="8"/>
      <c r="U37" s="8"/>
      <c r="V37" s="11" t="str">
        <f t="shared" si="2"/>
        <v/>
      </c>
      <c r="W37" s="11" t="str">
        <f t="shared" si="3"/>
        <v/>
      </c>
      <c r="X37" s="11" t="str">
        <f t="shared" si="4"/>
        <v/>
      </c>
      <c r="Y37" s="11" t="str">
        <f t="shared" si="5"/>
        <v/>
      </c>
      <c r="Z37" s="11" t="str">
        <f t="shared" si="6"/>
        <v/>
      </c>
    </row>
    <row r="38" spans="1:26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IF(A38="","",IF(COUNTIF('06 - FLOW'!$A$9:$A$58,A38)&gt;1,"DUPLICATE ID ","")&amp;IF(ReviewDate="","SET REVIEW DATE ","")&amp;IF(AND(N38="Yes",L38=""),"WAITING DATE MISSING ","")&amp;IF(AND(ISNUMBER(V38),V38&gt;=BlockDays),"BLOCKER AGE THRESHOLD ","")&amp;IF(T38&gt;=MoveCount,"REPEATED MILESTONE MOVEMENT ","")&amp;IF(AND(C38="Accepted",M38=""),"ACCEPTANCE DATE MISSING ","")&amp;IF(AND(C38&lt;&gt;"Accepted",ISNUMBER(E38),E38&lt;ReviewDate),"WORK OVERDUE ",""))</f>
        <v/>
      </c>
      <c r="H38" s="11" t="str">
        <f t="shared" si="1"/>
        <v/>
      </c>
      <c r="I38" s="8"/>
      <c r="J38" s="8"/>
      <c r="K38" s="9"/>
      <c r="L38" s="9"/>
      <c r="M38" s="9"/>
      <c r="N38" s="8"/>
      <c r="O38" s="8"/>
      <c r="P38" s="8"/>
      <c r="Q38" s="8"/>
      <c r="R38" s="8"/>
      <c r="S38" s="8"/>
      <c r="T38" s="8"/>
      <c r="U38" s="8"/>
      <c r="V38" s="11" t="str">
        <f t="shared" si="2"/>
        <v/>
      </c>
      <c r="W38" s="11" t="str">
        <f t="shared" si="3"/>
        <v/>
      </c>
      <c r="X38" s="11" t="str">
        <f t="shared" si="4"/>
        <v/>
      </c>
      <c r="Y38" s="11" t="str">
        <f t="shared" si="5"/>
        <v/>
      </c>
      <c r="Z38" s="11" t="str">
        <f t="shared" si="6"/>
        <v/>
      </c>
    </row>
    <row r="39" spans="1:26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IF(A39="","",IF(COUNTIF('06 - FLOW'!$A$9:$A$58,A39)&gt;1,"DUPLICATE ID ","")&amp;IF(ReviewDate="","SET REVIEW DATE ","")&amp;IF(AND(N39="Yes",L39=""),"WAITING DATE MISSING ","")&amp;IF(AND(ISNUMBER(V39),V39&gt;=BlockDays),"BLOCKER AGE THRESHOLD ","")&amp;IF(T39&gt;=MoveCount,"REPEATED MILESTONE MOVEMENT ","")&amp;IF(AND(C39="Accepted",M39=""),"ACCEPTANCE DATE MISSING ","")&amp;IF(AND(C39&lt;&gt;"Accepted",ISNUMBER(E39),E39&lt;ReviewDate),"WORK OVERDUE ",""))</f>
        <v/>
      </c>
      <c r="H39" s="11" t="str">
        <f t="shared" si="1"/>
        <v/>
      </c>
      <c r="I39" s="8"/>
      <c r="J39" s="8"/>
      <c r="K39" s="9"/>
      <c r="L39" s="9"/>
      <c r="M39" s="9"/>
      <c r="N39" s="8"/>
      <c r="O39" s="8"/>
      <c r="P39" s="8"/>
      <c r="Q39" s="8"/>
      <c r="R39" s="8"/>
      <c r="S39" s="8"/>
      <c r="T39" s="8"/>
      <c r="U39" s="8"/>
      <c r="V39" s="11" t="str">
        <f t="shared" si="2"/>
        <v/>
      </c>
      <c r="W39" s="11" t="str">
        <f t="shared" si="3"/>
        <v/>
      </c>
      <c r="X39" s="11" t="str">
        <f t="shared" si="4"/>
        <v/>
      </c>
      <c r="Y39" s="11" t="str">
        <f t="shared" si="5"/>
        <v/>
      </c>
      <c r="Z39" s="11" t="str">
        <f t="shared" si="6"/>
        <v/>
      </c>
    </row>
    <row r="40" spans="1:26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IF(A40="","",IF(COUNTIF('06 - FLOW'!$A$9:$A$58,A40)&gt;1,"DUPLICATE ID ","")&amp;IF(ReviewDate="","SET REVIEW DATE ","")&amp;IF(AND(N40="Yes",L40=""),"WAITING DATE MISSING ","")&amp;IF(AND(ISNUMBER(V40),V40&gt;=BlockDays),"BLOCKER AGE THRESHOLD ","")&amp;IF(T40&gt;=MoveCount,"REPEATED MILESTONE MOVEMENT ","")&amp;IF(AND(C40="Accepted",M40=""),"ACCEPTANCE DATE MISSING ","")&amp;IF(AND(C40&lt;&gt;"Accepted",ISNUMBER(E40),E40&lt;ReviewDate),"WORK OVERDUE ",""))</f>
        <v/>
      </c>
      <c r="H40" s="11" t="str">
        <f t="shared" si="1"/>
        <v/>
      </c>
      <c r="I40" s="8"/>
      <c r="J40" s="8"/>
      <c r="K40" s="9"/>
      <c r="L40" s="9"/>
      <c r="M40" s="9"/>
      <c r="N40" s="8"/>
      <c r="O40" s="8"/>
      <c r="P40" s="8"/>
      <c r="Q40" s="8"/>
      <c r="R40" s="8"/>
      <c r="S40" s="8"/>
      <c r="T40" s="8"/>
      <c r="U40" s="8"/>
      <c r="V40" s="11" t="str">
        <f t="shared" si="2"/>
        <v/>
      </c>
      <c r="W40" s="11" t="str">
        <f t="shared" si="3"/>
        <v/>
      </c>
      <c r="X40" s="11" t="str">
        <f t="shared" si="4"/>
        <v/>
      </c>
      <c r="Y40" s="11" t="str">
        <f t="shared" si="5"/>
        <v/>
      </c>
      <c r="Z40" s="11" t="str">
        <f t="shared" si="6"/>
        <v/>
      </c>
    </row>
    <row r="41" spans="1:26" ht="60" customHeight="1">
      <c r="A41" s="8"/>
      <c r="B41" s="8"/>
      <c r="C41" s="8"/>
      <c r="D41" s="8"/>
      <c r="E41" s="9"/>
      <c r="F41" s="11" t="str">
        <f t="shared" ref="F41:F58" si="7">IF(A41="","",IF(FALSE,"Critical",IF(G41&lt;&gt;"","Review","Routine")))</f>
        <v/>
      </c>
      <c r="G41" s="20" t="str">
        <f>IF(A41="","",IF(COUNTIF('06 - FLOW'!$A$9:$A$58,A41)&gt;1,"DUPLICATE ID ","")&amp;IF(ReviewDate="","SET REVIEW DATE ","")&amp;IF(AND(N41="Yes",L41=""),"WAITING DATE MISSING ","")&amp;IF(AND(ISNUMBER(V41),V41&gt;=BlockDays),"BLOCKER AGE THRESHOLD ","")&amp;IF(T41&gt;=MoveCount,"REPEATED MILESTONE MOVEMENT ","")&amp;IF(AND(C41="Accepted",M41=""),"ACCEPTANCE DATE MISSING ","")&amp;IF(AND(C41&lt;&gt;"Accepted",ISNUMBER(E41),E41&lt;ReviewDate),"WORK OVERDUE ",""))</f>
        <v/>
      </c>
      <c r="H41" s="11" t="str">
        <f t="shared" ref="H41:H58" si="8">IF(A41="","",IF(G41&lt;&gt;"","Resolve the constraint and shorten the next evidence loop.",""))</f>
        <v/>
      </c>
      <c r="I41" s="8"/>
      <c r="J41" s="8"/>
      <c r="K41" s="9"/>
      <c r="L41" s="9"/>
      <c r="M41" s="9"/>
      <c r="N41" s="8"/>
      <c r="O41" s="8"/>
      <c r="P41" s="8"/>
      <c r="Q41" s="8"/>
      <c r="R41" s="8"/>
      <c r="S41" s="8"/>
      <c r="T41" s="8"/>
      <c r="U41" s="8"/>
      <c r="V41" s="11" t="str">
        <f t="shared" ref="V41:V58" si="9">IF(A41="","",IF(AND(N41="Yes",M41="",ISNUMBER(L41),ISNUMBER(ReviewDate)),MAX(0,ReviewDate-L41),""))</f>
        <v/>
      </c>
      <c r="W41" s="11" t="str">
        <f t="shared" ref="W41:W58" si="10">IF(A41="","",IF(ISNUMBER(L41),MAX(0,IF(ISNUMBER(M41),M41,ReviewDate)-L41),""))</f>
        <v/>
      </c>
      <c r="X41" s="11" t="str">
        <f t="shared" ref="X41:X58" si="11">IF(A41="","",IF(AND(C41&lt;&gt;"Accepted",C41&lt;&gt;"Planned"),1,0))</f>
        <v/>
      </c>
      <c r="Y41" s="11" t="str">
        <f t="shared" ref="Y41:Y58" si="12">IF(A41="","",IF(C41="Acceptance queue",1,0))</f>
        <v/>
      </c>
      <c r="Z41" s="11" t="str">
        <f t="shared" ref="Z41:Z58" si="13">IF(A41="","",IF(AND(ISNUMBER(U41),ISNUMBER(V41)),IF(V41&gt;U41,"Growing",IF(V41&lt;U41,"Reducing","Unchanged")),"Not comparable"))</f>
        <v/>
      </c>
    </row>
    <row r="42" spans="1:26" ht="60" customHeight="1">
      <c r="A42" s="8"/>
      <c r="B42" s="8"/>
      <c r="C42" s="8"/>
      <c r="D42" s="8"/>
      <c r="E42" s="9"/>
      <c r="F42" s="11" t="str">
        <f t="shared" si="7"/>
        <v/>
      </c>
      <c r="G42" s="20" t="str">
        <f>IF(A42="","",IF(COUNTIF('06 - FLOW'!$A$9:$A$58,A42)&gt;1,"DUPLICATE ID ","")&amp;IF(ReviewDate="","SET REVIEW DATE ","")&amp;IF(AND(N42="Yes",L42=""),"WAITING DATE MISSING ","")&amp;IF(AND(ISNUMBER(V42),V42&gt;=BlockDays),"BLOCKER AGE THRESHOLD ","")&amp;IF(T42&gt;=MoveCount,"REPEATED MILESTONE MOVEMENT ","")&amp;IF(AND(C42="Accepted",M42=""),"ACCEPTANCE DATE MISSING ","")&amp;IF(AND(C42&lt;&gt;"Accepted",ISNUMBER(E42),E42&lt;ReviewDate),"WORK OVERDUE ",""))</f>
        <v/>
      </c>
      <c r="H42" s="11" t="str">
        <f t="shared" si="8"/>
        <v/>
      </c>
      <c r="I42" s="8"/>
      <c r="J42" s="8"/>
      <c r="K42" s="9"/>
      <c r="L42" s="9"/>
      <c r="M42" s="9"/>
      <c r="N42" s="8"/>
      <c r="O42" s="8"/>
      <c r="P42" s="8"/>
      <c r="Q42" s="8"/>
      <c r="R42" s="8"/>
      <c r="S42" s="8"/>
      <c r="T42" s="8"/>
      <c r="U42" s="8"/>
      <c r="V42" s="11" t="str">
        <f t="shared" si="9"/>
        <v/>
      </c>
      <c r="W42" s="11" t="str">
        <f t="shared" si="10"/>
        <v/>
      </c>
      <c r="X42" s="11" t="str">
        <f t="shared" si="11"/>
        <v/>
      </c>
      <c r="Y42" s="11" t="str">
        <f t="shared" si="12"/>
        <v/>
      </c>
      <c r="Z42" s="11" t="str">
        <f t="shared" si="13"/>
        <v/>
      </c>
    </row>
    <row r="43" spans="1:26" ht="60" customHeight="1">
      <c r="A43" s="8"/>
      <c r="B43" s="8"/>
      <c r="C43" s="8"/>
      <c r="D43" s="8"/>
      <c r="E43" s="9"/>
      <c r="F43" s="11" t="str">
        <f t="shared" si="7"/>
        <v/>
      </c>
      <c r="G43" s="20" t="str">
        <f>IF(A43="","",IF(COUNTIF('06 - FLOW'!$A$9:$A$58,A43)&gt;1,"DUPLICATE ID ","")&amp;IF(ReviewDate="","SET REVIEW DATE ","")&amp;IF(AND(N43="Yes",L43=""),"WAITING DATE MISSING ","")&amp;IF(AND(ISNUMBER(V43),V43&gt;=BlockDays),"BLOCKER AGE THRESHOLD ","")&amp;IF(T43&gt;=MoveCount,"REPEATED MILESTONE MOVEMENT ","")&amp;IF(AND(C43="Accepted",M43=""),"ACCEPTANCE DATE MISSING ","")&amp;IF(AND(C43&lt;&gt;"Accepted",ISNUMBER(E43),E43&lt;ReviewDate),"WORK OVERDUE ",""))</f>
        <v/>
      </c>
      <c r="H43" s="11" t="str">
        <f t="shared" si="8"/>
        <v/>
      </c>
      <c r="I43" s="8"/>
      <c r="J43" s="8"/>
      <c r="K43" s="9"/>
      <c r="L43" s="9"/>
      <c r="M43" s="9"/>
      <c r="N43" s="8"/>
      <c r="O43" s="8"/>
      <c r="P43" s="8"/>
      <c r="Q43" s="8"/>
      <c r="R43" s="8"/>
      <c r="S43" s="8"/>
      <c r="T43" s="8"/>
      <c r="U43" s="8"/>
      <c r="V43" s="11" t="str">
        <f t="shared" si="9"/>
        <v/>
      </c>
      <c r="W43" s="11" t="str">
        <f t="shared" si="10"/>
        <v/>
      </c>
      <c r="X43" s="11" t="str">
        <f t="shared" si="11"/>
        <v/>
      </c>
      <c r="Y43" s="11" t="str">
        <f t="shared" si="12"/>
        <v/>
      </c>
      <c r="Z43" s="11" t="str">
        <f t="shared" si="13"/>
        <v/>
      </c>
    </row>
    <row r="44" spans="1:26" ht="60" customHeight="1">
      <c r="A44" s="8"/>
      <c r="B44" s="8"/>
      <c r="C44" s="8"/>
      <c r="D44" s="8"/>
      <c r="E44" s="9"/>
      <c r="F44" s="11" t="str">
        <f t="shared" si="7"/>
        <v/>
      </c>
      <c r="G44" s="20" t="str">
        <f>IF(A44="","",IF(COUNTIF('06 - FLOW'!$A$9:$A$58,A44)&gt;1,"DUPLICATE ID ","")&amp;IF(ReviewDate="","SET REVIEW DATE ","")&amp;IF(AND(N44="Yes",L44=""),"WAITING DATE MISSING ","")&amp;IF(AND(ISNUMBER(V44),V44&gt;=BlockDays),"BLOCKER AGE THRESHOLD ","")&amp;IF(T44&gt;=MoveCount,"REPEATED MILESTONE MOVEMENT ","")&amp;IF(AND(C44="Accepted",M44=""),"ACCEPTANCE DATE MISSING ","")&amp;IF(AND(C44&lt;&gt;"Accepted",ISNUMBER(E44),E44&lt;ReviewDate),"WORK OVERDUE ",""))</f>
        <v/>
      </c>
      <c r="H44" s="11" t="str">
        <f t="shared" si="8"/>
        <v/>
      </c>
      <c r="I44" s="8"/>
      <c r="J44" s="8"/>
      <c r="K44" s="9"/>
      <c r="L44" s="9"/>
      <c r="M44" s="9"/>
      <c r="N44" s="8"/>
      <c r="O44" s="8"/>
      <c r="P44" s="8"/>
      <c r="Q44" s="8"/>
      <c r="R44" s="8"/>
      <c r="S44" s="8"/>
      <c r="T44" s="8"/>
      <c r="U44" s="8"/>
      <c r="V44" s="11" t="str">
        <f t="shared" si="9"/>
        <v/>
      </c>
      <c r="W44" s="11" t="str">
        <f t="shared" si="10"/>
        <v/>
      </c>
      <c r="X44" s="11" t="str">
        <f t="shared" si="11"/>
        <v/>
      </c>
      <c r="Y44" s="11" t="str">
        <f t="shared" si="12"/>
        <v/>
      </c>
      <c r="Z44" s="11" t="str">
        <f t="shared" si="13"/>
        <v/>
      </c>
    </row>
    <row r="45" spans="1:26" ht="60" customHeight="1">
      <c r="A45" s="8"/>
      <c r="B45" s="8"/>
      <c r="C45" s="8"/>
      <c r="D45" s="8"/>
      <c r="E45" s="9"/>
      <c r="F45" s="11" t="str">
        <f t="shared" si="7"/>
        <v/>
      </c>
      <c r="G45" s="20" t="str">
        <f>IF(A45="","",IF(COUNTIF('06 - FLOW'!$A$9:$A$58,A45)&gt;1,"DUPLICATE ID ","")&amp;IF(ReviewDate="","SET REVIEW DATE ","")&amp;IF(AND(N45="Yes",L45=""),"WAITING DATE MISSING ","")&amp;IF(AND(ISNUMBER(V45),V45&gt;=BlockDays),"BLOCKER AGE THRESHOLD ","")&amp;IF(T45&gt;=MoveCount,"REPEATED MILESTONE MOVEMENT ","")&amp;IF(AND(C45="Accepted",M45=""),"ACCEPTANCE DATE MISSING ","")&amp;IF(AND(C45&lt;&gt;"Accepted",ISNUMBER(E45),E45&lt;ReviewDate),"WORK OVERDUE ",""))</f>
        <v/>
      </c>
      <c r="H45" s="11" t="str">
        <f t="shared" si="8"/>
        <v/>
      </c>
      <c r="I45" s="8"/>
      <c r="J45" s="8"/>
      <c r="K45" s="9"/>
      <c r="L45" s="9"/>
      <c r="M45" s="9"/>
      <c r="N45" s="8"/>
      <c r="O45" s="8"/>
      <c r="P45" s="8"/>
      <c r="Q45" s="8"/>
      <c r="R45" s="8"/>
      <c r="S45" s="8"/>
      <c r="T45" s="8"/>
      <c r="U45" s="8"/>
      <c r="V45" s="11" t="str">
        <f t="shared" si="9"/>
        <v/>
      </c>
      <c r="W45" s="11" t="str">
        <f t="shared" si="10"/>
        <v/>
      </c>
      <c r="X45" s="11" t="str">
        <f t="shared" si="11"/>
        <v/>
      </c>
      <c r="Y45" s="11" t="str">
        <f t="shared" si="12"/>
        <v/>
      </c>
      <c r="Z45" s="11" t="str">
        <f t="shared" si="13"/>
        <v/>
      </c>
    </row>
    <row r="46" spans="1:26" ht="60" customHeight="1">
      <c r="A46" s="8"/>
      <c r="B46" s="8"/>
      <c r="C46" s="8"/>
      <c r="D46" s="8"/>
      <c r="E46" s="9"/>
      <c r="F46" s="11" t="str">
        <f t="shared" si="7"/>
        <v/>
      </c>
      <c r="G46" s="20" t="str">
        <f>IF(A46="","",IF(COUNTIF('06 - FLOW'!$A$9:$A$58,A46)&gt;1,"DUPLICATE ID ","")&amp;IF(ReviewDate="","SET REVIEW DATE ","")&amp;IF(AND(N46="Yes",L46=""),"WAITING DATE MISSING ","")&amp;IF(AND(ISNUMBER(V46),V46&gt;=BlockDays),"BLOCKER AGE THRESHOLD ","")&amp;IF(T46&gt;=MoveCount,"REPEATED MILESTONE MOVEMENT ","")&amp;IF(AND(C46="Accepted",M46=""),"ACCEPTANCE DATE MISSING ","")&amp;IF(AND(C46&lt;&gt;"Accepted",ISNUMBER(E46),E46&lt;ReviewDate),"WORK OVERDUE ",""))</f>
        <v/>
      </c>
      <c r="H46" s="11" t="str">
        <f t="shared" si="8"/>
        <v/>
      </c>
      <c r="I46" s="8"/>
      <c r="J46" s="8"/>
      <c r="K46" s="9"/>
      <c r="L46" s="9"/>
      <c r="M46" s="9"/>
      <c r="N46" s="8"/>
      <c r="O46" s="8"/>
      <c r="P46" s="8"/>
      <c r="Q46" s="8"/>
      <c r="R46" s="8"/>
      <c r="S46" s="8"/>
      <c r="T46" s="8"/>
      <c r="U46" s="8"/>
      <c r="V46" s="11" t="str">
        <f t="shared" si="9"/>
        <v/>
      </c>
      <c r="W46" s="11" t="str">
        <f t="shared" si="10"/>
        <v/>
      </c>
      <c r="X46" s="11" t="str">
        <f t="shared" si="11"/>
        <v/>
      </c>
      <c r="Y46" s="11" t="str">
        <f t="shared" si="12"/>
        <v/>
      </c>
      <c r="Z46" s="11" t="str">
        <f t="shared" si="13"/>
        <v/>
      </c>
    </row>
    <row r="47" spans="1:26" ht="60" customHeight="1">
      <c r="A47" s="8"/>
      <c r="B47" s="8"/>
      <c r="C47" s="8"/>
      <c r="D47" s="8"/>
      <c r="E47" s="9"/>
      <c r="F47" s="11" t="str">
        <f t="shared" si="7"/>
        <v/>
      </c>
      <c r="G47" s="20" t="str">
        <f>IF(A47="","",IF(COUNTIF('06 - FLOW'!$A$9:$A$58,A47)&gt;1,"DUPLICATE ID ","")&amp;IF(ReviewDate="","SET REVIEW DATE ","")&amp;IF(AND(N47="Yes",L47=""),"WAITING DATE MISSING ","")&amp;IF(AND(ISNUMBER(V47),V47&gt;=BlockDays),"BLOCKER AGE THRESHOLD ","")&amp;IF(T47&gt;=MoveCount,"REPEATED MILESTONE MOVEMENT ","")&amp;IF(AND(C47="Accepted",M47=""),"ACCEPTANCE DATE MISSING ","")&amp;IF(AND(C47&lt;&gt;"Accepted",ISNUMBER(E47),E47&lt;ReviewDate),"WORK OVERDUE ",""))</f>
        <v/>
      </c>
      <c r="H47" s="11" t="str">
        <f t="shared" si="8"/>
        <v/>
      </c>
      <c r="I47" s="8"/>
      <c r="J47" s="8"/>
      <c r="K47" s="9"/>
      <c r="L47" s="9"/>
      <c r="M47" s="9"/>
      <c r="N47" s="8"/>
      <c r="O47" s="8"/>
      <c r="P47" s="8"/>
      <c r="Q47" s="8"/>
      <c r="R47" s="8"/>
      <c r="S47" s="8"/>
      <c r="T47" s="8"/>
      <c r="U47" s="8"/>
      <c r="V47" s="11" t="str">
        <f t="shared" si="9"/>
        <v/>
      </c>
      <c r="W47" s="11" t="str">
        <f t="shared" si="10"/>
        <v/>
      </c>
      <c r="X47" s="11" t="str">
        <f t="shared" si="11"/>
        <v/>
      </c>
      <c r="Y47" s="11" t="str">
        <f t="shared" si="12"/>
        <v/>
      </c>
      <c r="Z47" s="11" t="str">
        <f t="shared" si="13"/>
        <v/>
      </c>
    </row>
    <row r="48" spans="1:26" ht="60" customHeight="1">
      <c r="A48" s="8"/>
      <c r="B48" s="8"/>
      <c r="C48" s="8"/>
      <c r="D48" s="8"/>
      <c r="E48" s="9"/>
      <c r="F48" s="11" t="str">
        <f t="shared" si="7"/>
        <v/>
      </c>
      <c r="G48" s="20" t="str">
        <f>IF(A48="","",IF(COUNTIF('06 - FLOW'!$A$9:$A$58,A48)&gt;1,"DUPLICATE ID ","")&amp;IF(ReviewDate="","SET REVIEW DATE ","")&amp;IF(AND(N48="Yes",L48=""),"WAITING DATE MISSING ","")&amp;IF(AND(ISNUMBER(V48),V48&gt;=BlockDays),"BLOCKER AGE THRESHOLD ","")&amp;IF(T48&gt;=MoveCount,"REPEATED MILESTONE MOVEMENT ","")&amp;IF(AND(C48="Accepted",M48=""),"ACCEPTANCE DATE MISSING ","")&amp;IF(AND(C48&lt;&gt;"Accepted",ISNUMBER(E48),E48&lt;ReviewDate),"WORK OVERDUE ",""))</f>
        <v/>
      </c>
      <c r="H48" s="11" t="str">
        <f t="shared" si="8"/>
        <v/>
      </c>
      <c r="I48" s="8"/>
      <c r="J48" s="8"/>
      <c r="K48" s="9"/>
      <c r="L48" s="9"/>
      <c r="M48" s="9"/>
      <c r="N48" s="8"/>
      <c r="O48" s="8"/>
      <c r="P48" s="8"/>
      <c r="Q48" s="8"/>
      <c r="R48" s="8"/>
      <c r="S48" s="8"/>
      <c r="T48" s="8"/>
      <c r="U48" s="8"/>
      <c r="V48" s="11" t="str">
        <f t="shared" si="9"/>
        <v/>
      </c>
      <c r="W48" s="11" t="str">
        <f t="shared" si="10"/>
        <v/>
      </c>
      <c r="X48" s="11" t="str">
        <f t="shared" si="11"/>
        <v/>
      </c>
      <c r="Y48" s="11" t="str">
        <f t="shared" si="12"/>
        <v/>
      </c>
      <c r="Z48" s="11" t="str">
        <f t="shared" si="13"/>
        <v/>
      </c>
    </row>
    <row r="49" spans="1:26" ht="60" customHeight="1">
      <c r="A49" s="8"/>
      <c r="B49" s="8"/>
      <c r="C49" s="8"/>
      <c r="D49" s="8"/>
      <c r="E49" s="9"/>
      <c r="F49" s="11" t="str">
        <f t="shared" si="7"/>
        <v/>
      </c>
      <c r="G49" s="20" t="str">
        <f>IF(A49="","",IF(COUNTIF('06 - FLOW'!$A$9:$A$58,A49)&gt;1,"DUPLICATE ID ","")&amp;IF(ReviewDate="","SET REVIEW DATE ","")&amp;IF(AND(N49="Yes",L49=""),"WAITING DATE MISSING ","")&amp;IF(AND(ISNUMBER(V49),V49&gt;=BlockDays),"BLOCKER AGE THRESHOLD ","")&amp;IF(T49&gt;=MoveCount,"REPEATED MILESTONE MOVEMENT ","")&amp;IF(AND(C49="Accepted",M49=""),"ACCEPTANCE DATE MISSING ","")&amp;IF(AND(C49&lt;&gt;"Accepted",ISNUMBER(E49),E49&lt;ReviewDate),"WORK OVERDUE ",""))</f>
        <v/>
      </c>
      <c r="H49" s="11" t="str">
        <f t="shared" si="8"/>
        <v/>
      </c>
      <c r="I49" s="8"/>
      <c r="J49" s="8"/>
      <c r="K49" s="9"/>
      <c r="L49" s="9"/>
      <c r="M49" s="9"/>
      <c r="N49" s="8"/>
      <c r="O49" s="8"/>
      <c r="P49" s="8"/>
      <c r="Q49" s="8"/>
      <c r="R49" s="8"/>
      <c r="S49" s="8"/>
      <c r="T49" s="8"/>
      <c r="U49" s="8"/>
      <c r="V49" s="11" t="str">
        <f t="shared" si="9"/>
        <v/>
      </c>
      <c r="W49" s="11" t="str">
        <f t="shared" si="10"/>
        <v/>
      </c>
      <c r="X49" s="11" t="str">
        <f t="shared" si="11"/>
        <v/>
      </c>
      <c r="Y49" s="11" t="str">
        <f t="shared" si="12"/>
        <v/>
      </c>
      <c r="Z49" s="11" t="str">
        <f t="shared" si="13"/>
        <v/>
      </c>
    </row>
    <row r="50" spans="1:26" ht="60" customHeight="1">
      <c r="A50" s="8"/>
      <c r="B50" s="8"/>
      <c r="C50" s="8"/>
      <c r="D50" s="8"/>
      <c r="E50" s="9"/>
      <c r="F50" s="11" t="str">
        <f t="shared" si="7"/>
        <v/>
      </c>
      <c r="G50" s="20" t="str">
        <f>IF(A50="","",IF(COUNTIF('06 - FLOW'!$A$9:$A$58,A50)&gt;1,"DUPLICATE ID ","")&amp;IF(ReviewDate="","SET REVIEW DATE ","")&amp;IF(AND(N50="Yes",L50=""),"WAITING DATE MISSING ","")&amp;IF(AND(ISNUMBER(V50),V50&gt;=BlockDays),"BLOCKER AGE THRESHOLD ","")&amp;IF(T50&gt;=MoveCount,"REPEATED MILESTONE MOVEMENT ","")&amp;IF(AND(C50="Accepted",M50=""),"ACCEPTANCE DATE MISSING ","")&amp;IF(AND(C50&lt;&gt;"Accepted",ISNUMBER(E50),E50&lt;ReviewDate),"WORK OVERDUE ",""))</f>
        <v/>
      </c>
      <c r="H50" s="11" t="str">
        <f t="shared" si="8"/>
        <v/>
      </c>
      <c r="I50" s="8"/>
      <c r="J50" s="8"/>
      <c r="K50" s="9"/>
      <c r="L50" s="9"/>
      <c r="M50" s="9"/>
      <c r="N50" s="8"/>
      <c r="O50" s="8"/>
      <c r="P50" s="8"/>
      <c r="Q50" s="8"/>
      <c r="R50" s="8"/>
      <c r="S50" s="8"/>
      <c r="T50" s="8"/>
      <c r="U50" s="8"/>
      <c r="V50" s="11" t="str">
        <f t="shared" si="9"/>
        <v/>
      </c>
      <c r="W50" s="11" t="str">
        <f t="shared" si="10"/>
        <v/>
      </c>
      <c r="X50" s="11" t="str">
        <f t="shared" si="11"/>
        <v/>
      </c>
      <c r="Y50" s="11" t="str">
        <f t="shared" si="12"/>
        <v/>
      </c>
      <c r="Z50" s="11" t="str">
        <f t="shared" si="13"/>
        <v/>
      </c>
    </row>
    <row r="51" spans="1:26" ht="60" customHeight="1">
      <c r="A51" s="8"/>
      <c r="B51" s="8"/>
      <c r="C51" s="8"/>
      <c r="D51" s="8"/>
      <c r="E51" s="9"/>
      <c r="F51" s="11" t="str">
        <f t="shared" si="7"/>
        <v/>
      </c>
      <c r="G51" s="20" t="str">
        <f>IF(A51="","",IF(COUNTIF('06 - FLOW'!$A$9:$A$58,A51)&gt;1,"DUPLICATE ID ","")&amp;IF(ReviewDate="","SET REVIEW DATE ","")&amp;IF(AND(N51="Yes",L51=""),"WAITING DATE MISSING ","")&amp;IF(AND(ISNUMBER(V51),V51&gt;=BlockDays),"BLOCKER AGE THRESHOLD ","")&amp;IF(T51&gt;=MoveCount,"REPEATED MILESTONE MOVEMENT ","")&amp;IF(AND(C51="Accepted",M51=""),"ACCEPTANCE DATE MISSING ","")&amp;IF(AND(C51&lt;&gt;"Accepted",ISNUMBER(E51),E51&lt;ReviewDate),"WORK OVERDUE ",""))</f>
        <v/>
      </c>
      <c r="H51" s="11" t="str">
        <f t="shared" si="8"/>
        <v/>
      </c>
      <c r="I51" s="8"/>
      <c r="J51" s="8"/>
      <c r="K51" s="9"/>
      <c r="L51" s="9"/>
      <c r="M51" s="9"/>
      <c r="N51" s="8"/>
      <c r="O51" s="8"/>
      <c r="P51" s="8"/>
      <c r="Q51" s="8"/>
      <c r="R51" s="8"/>
      <c r="S51" s="8"/>
      <c r="T51" s="8"/>
      <c r="U51" s="8"/>
      <c r="V51" s="11" t="str">
        <f t="shared" si="9"/>
        <v/>
      </c>
      <c r="W51" s="11" t="str">
        <f t="shared" si="10"/>
        <v/>
      </c>
      <c r="X51" s="11" t="str">
        <f t="shared" si="11"/>
        <v/>
      </c>
      <c r="Y51" s="11" t="str">
        <f t="shared" si="12"/>
        <v/>
      </c>
      <c r="Z51" s="11" t="str">
        <f t="shared" si="13"/>
        <v/>
      </c>
    </row>
    <row r="52" spans="1:26" ht="60" customHeight="1">
      <c r="A52" s="8"/>
      <c r="B52" s="8"/>
      <c r="C52" s="8"/>
      <c r="D52" s="8"/>
      <c r="E52" s="9"/>
      <c r="F52" s="11" t="str">
        <f t="shared" si="7"/>
        <v/>
      </c>
      <c r="G52" s="20" t="str">
        <f>IF(A52="","",IF(COUNTIF('06 - FLOW'!$A$9:$A$58,A52)&gt;1,"DUPLICATE ID ","")&amp;IF(ReviewDate="","SET REVIEW DATE ","")&amp;IF(AND(N52="Yes",L52=""),"WAITING DATE MISSING ","")&amp;IF(AND(ISNUMBER(V52),V52&gt;=BlockDays),"BLOCKER AGE THRESHOLD ","")&amp;IF(T52&gt;=MoveCount,"REPEATED MILESTONE MOVEMENT ","")&amp;IF(AND(C52="Accepted",M52=""),"ACCEPTANCE DATE MISSING ","")&amp;IF(AND(C52&lt;&gt;"Accepted",ISNUMBER(E52),E52&lt;ReviewDate),"WORK OVERDUE ",""))</f>
        <v/>
      </c>
      <c r="H52" s="11" t="str">
        <f t="shared" si="8"/>
        <v/>
      </c>
      <c r="I52" s="8"/>
      <c r="J52" s="8"/>
      <c r="K52" s="9"/>
      <c r="L52" s="9"/>
      <c r="M52" s="9"/>
      <c r="N52" s="8"/>
      <c r="O52" s="8"/>
      <c r="P52" s="8"/>
      <c r="Q52" s="8"/>
      <c r="R52" s="8"/>
      <c r="S52" s="8"/>
      <c r="T52" s="8"/>
      <c r="U52" s="8"/>
      <c r="V52" s="11" t="str">
        <f t="shared" si="9"/>
        <v/>
      </c>
      <c r="W52" s="11" t="str">
        <f t="shared" si="10"/>
        <v/>
      </c>
      <c r="X52" s="11" t="str">
        <f t="shared" si="11"/>
        <v/>
      </c>
      <c r="Y52" s="11" t="str">
        <f t="shared" si="12"/>
        <v/>
      </c>
      <c r="Z52" s="11" t="str">
        <f t="shared" si="13"/>
        <v/>
      </c>
    </row>
    <row r="53" spans="1:26" ht="60" customHeight="1">
      <c r="A53" s="8"/>
      <c r="B53" s="8"/>
      <c r="C53" s="8"/>
      <c r="D53" s="8"/>
      <c r="E53" s="9"/>
      <c r="F53" s="11" t="str">
        <f t="shared" si="7"/>
        <v/>
      </c>
      <c r="G53" s="20" t="str">
        <f>IF(A53="","",IF(COUNTIF('06 - FLOW'!$A$9:$A$58,A53)&gt;1,"DUPLICATE ID ","")&amp;IF(ReviewDate="","SET REVIEW DATE ","")&amp;IF(AND(N53="Yes",L53=""),"WAITING DATE MISSING ","")&amp;IF(AND(ISNUMBER(V53),V53&gt;=BlockDays),"BLOCKER AGE THRESHOLD ","")&amp;IF(T53&gt;=MoveCount,"REPEATED MILESTONE MOVEMENT ","")&amp;IF(AND(C53="Accepted",M53=""),"ACCEPTANCE DATE MISSING ","")&amp;IF(AND(C53&lt;&gt;"Accepted",ISNUMBER(E53),E53&lt;ReviewDate),"WORK OVERDUE ",""))</f>
        <v/>
      </c>
      <c r="H53" s="11" t="str">
        <f t="shared" si="8"/>
        <v/>
      </c>
      <c r="I53" s="8"/>
      <c r="J53" s="8"/>
      <c r="K53" s="9"/>
      <c r="L53" s="9"/>
      <c r="M53" s="9"/>
      <c r="N53" s="8"/>
      <c r="O53" s="8"/>
      <c r="P53" s="8"/>
      <c r="Q53" s="8"/>
      <c r="R53" s="8"/>
      <c r="S53" s="8"/>
      <c r="T53" s="8"/>
      <c r="U53" s="8"/>
      <c r="V53" s="11" t="str">
        <f t="shared" si="9"/>
        <v/>
      </c>
      <c r="W53" s="11" t="str">
        <f t="shared" si="10"/>
        <v/>
      </c>
      <c r="X53" s="11" t="str">
        <f t="shared" si="11"/>
        <v/>
      </c>
      <c r="Y53" s="11" t="str">
        <f t="shared" si="12"/>
        <v/>
      </c>
      <c r="Z53" s="11" t="str">
        <f t="shared" si="13"/>
        <v/>
      </c>
    </row>
    <row r="54" spans="1:26" ht="60" customHeight="1">
      <c r="A54" s="8"/>
      <c r="B54" s="8"/>
      <c r="C54" s="8"/>
      <c r="D54" s="8"/>
      <c r="E54" s="9"/>
      <c r="F54" s="11" t="str">
        <f t="shared" si="7"/>
        <v/>
      </c>
      <c r="G54" s="20" t="str">
        <f>IF(A54="","",IF(COUNTIF('06 - FLOW'!$A$9:$A$58,A54)&gt;1,"DUPLICATE ID ","")&amp;IF(ReviewDate="","SET REVIEW DATE ","")&amp;IF(AND(N54="Yes",L54=""),"WAITING DATE MISSING ","")&amp;IF(AND(ISNUMBER(V54),V54&gt;=BlockDays),"BLOCKER AGE THRESHOLD ","")&amp;IF(T54&gt;=MoveCount,"REPEATED MILESTONE MOVEMENT ","")&amp;IF(AND(C54="Accepted",M54=""),"ACCEPTANCE DATE MISSING ","")&amp;IF(AND(C54&lt;&gt;"Accepted",ISNUMBER(E54),E54&lt;ReviewDate),"WORK OVERDUE ",""))</f>
        <v/>
      </c>
      <c r="H54" s="11" t="str">
        <f t="shared" si="8"/>
        <v/>
      </c>
      <c r="I54" s="8"/>
      <c r="J54" s="8"/>
      <c r="K54" s="9"/>
      <c r="L54" s="9"/>
      <c r="M54" s="9"/>
      <c r="N54" s="8"/>
      <c r="O54" s="8"/>
      <c r="P54" s="8"/>
      <c r="Q54" s="8"/>
      <c r="R54" s="8"/>
      <c r="S54" s="8"/>
      <c r="T54" s="8"/>
      <c r="U54" s="8"/>
      <c r="V54" s="11" t="str">
        <f t="shared" si="9"/>
        <v/>
      </c>
      <c r="W54" s="11" t="str">
        <f t="shared" si="10"/>
        <v/>
      </c>
      <c r="X54" s="11" t="str">
        <f t="shared" si="11"/>
        <v/>
      </c>
      <c r="Y54" s="11" t="str">
        <f t="shared" si="12"/>
        <v/>
      </c>
      <c r="Z54" s="11" t="str">
        <f t="shared" si="13"/>
        <v/>
      </c>
    </row>
    <row r="55" spans="1:26" ht="60" customHeight="1">
      <c r="A55" s="8"/>
      <c r="B55" s="8"/>
      <c r="C55" s="8"/>
      <c r="D55" s="8"/>
      <c r="E55" s="9"/>
      <c r="F55" s="11" t="str">
        <f t="shared" si="7"/>
        <v/>
      </c>
      <c r="G55" s="20" t="str">
        <f>IF(A55="","",IF(COUNTIF('06 - FLOW'!$A$9:$A$58,A55)&gt;1,"DUPLICATE ID ","")&amp;IF(ReviewDate="","SET REVIEW DATE ","")&amp;IF(AND(N55="Yes",L55=""),"WAITING DATE MISSING ","")&amp;IF(AND(ISNUMBER(V55),V55&gt;=BlockDays),"BLOCKER AGE THRESHOLD ","")&amp;IF(T55&gt;=MoveCount,"REPEATED MILESTONE MOVEMENT ","")&amp;IF(AND(C55="Accepted",M55=""),"ACCEPTANCE DATE MISSING ","")&amp;IF(AND(C55&lt;&gt;"Accepted",ISNUMBER(E55),E55&lt;ReviewDate),"WORK OVERDUE ",""))</f>
        <v/>
      </c>
      <c r="H55" s="11" t="str">
        <f t="shared" si="8"/>
        <v/>
      </c>
      <c r="I55" s="8"/>
      <c r="J55" s="8"/>
      <c r="K55" s="9"/>
      <c r="L55" s="9"/>
      <c r="M55" s="9"/>
      <c r="N55" s="8"/>
      <c r="O55" s="8"/>
      <c r="P55" s="8"/>
      <c r="Q55" s="8"/>
      <c r="R55" s="8"/>
      <c r="S55" s="8"/>
      <c r="T55" s="8"/>
      <c r="U55" s="8"/>
      <c r="V55" s="11" t="str">
        <f t="shared" si="9"/>
        <v/>
      </c>
      <c r="W55" s="11" t="str">
        <f t="shared" si="10"/>
        <v/>
      </c>
      <c r="X55" s="11" t="str">
        <f t="shared" si="11"/>
        <v/>
      </c>
      <c r="Y55" s="11" t="str">
        <f t="shared" si="12"/>
        <v/>
      </c>
      <c r="Z55" s="11" t="str">
        <f t="shared" si="13"/>
        <v/>
      </c>
    </row>
    <row r="56" spans="1:26" ht="60" customHeight="1">
      <c r="A56" s="8"/>
      <c r="B56" s="8"/>
      <c r="C56" s="8"/>
      <c r="D56" s="8"/>
      <c r="E56" s="9"/>
      <c r="F56" s="11" t="str">
        <f t="shared" si="7"/>
        <v/>
      </c>
      <c r="G56" s="20" t="str">
        <f>IF(A56="","",IF(COUNTIF('06 - FLOW'!$A$9:$A$58,A56)&gt;1,"DUPLICATE ID ","")&amp;IF(ReviewDate="","SET REVIEW DATE ","")&amp;IF(AND(N56="Yes",L56=""),"WAITING DATE MISSING ","")&amp;IF(AND(ISNUMBER(V56),V56&gt;=BlockDays),"BLOCKER AGE THRESHOLD ","")&amp;IF(T56&gt;=MoveCount,"REPEATED MILESTONE MOVEMENT ","")&amp;IF(AND(C56="Accepted",M56=""),"ACCEPTANCE DATE MISSING ","")&amp;IF(AND(C56&lt;&gt;"Accepted",ISNUMBER(E56),E56&lt;ReviewDate),"WORK OVERDUE ",""))</f>
        <v/>
      </c>
      <c r="H56" s="11" t="str">
        <f t="shared" si="8"/>
        <v/>
      </c>
      <c r="I56" s="8"/>
      <c r="J56" s="8"/>
      <c r="K56" s="9"/>
      <c r="L56" s="9"/>
      <c r="M56" s="9"/>
      <c r="N56" s="8"/>
      <c r="O56" s="8"/>
      <c r="P56" s="8"/>
      <c r="Q56" s="8"/>
      <c r="R56" s="8"/>
      <c r="S56" s="8"/>
      <c r="T56" s="8"/>
      <c r="U56" s="8"/>
      <c r="V56" s="11" t="str">
        <f t="shared" si="9"/>
        <v/>
      </c>
      <c r="W56" s="11" t="str">
        <f t="shared" si="10"/>
        <v/>
      </c>
      <c r="X56" s="11" t="str">
        <f t="shared" si="11"/>
        <v/>
      </c>
      <c r="Y56" s="11" t="str">
        <f t="shared" si="12"/>
        <v/>
      </c>
      <c r="Z56" s="11" t="str">
        <f t="shared" si="13"/>
        <v/>
      </c>
    </row>
    <row r="57" spans="1:26" ht="60" customHeight="1">
      <c r="A57" s="8"/>
      <c r="B57" s="8"/>
      <c r="C57" s="8"/>
      <c r="D57" s="8"/>
      <c r="E57" s="9"/>
      <c r="F57" s="11" t="str">
        <f t="shared" si="7"/>
        <v/>
      </c>
      <c r="G57" s="20" t="str">
        <f>IF(A57="","",IF(COUNTIF('06 - FLOW'!$A$9:$A$58,A57)&gt;1,"DUPLICATE ID ","")&amp;IF(ReviewDate="","SET REVIEW DATE ","")&amp;IF(AND(N57="Yes",L57=""),"WAITING DATE MISSING ","")&amp;IF(AND(ISNUMBER(V57),V57&gt;=BlockDays),"BLOCKER AGE THRESHOLD ","")&amp;IF(T57&gt;=MoveCount,"REPEATED MILESTONE MOVEMENT ","")&amp;IF(AND(C57="Accepted",M57=""),"ACCEPTANCE DATE MISSING ","")&amp;IF(AND(C57&lt;&gt;"Accepted",ISNUMBER(E57),E57&lt;ReviewDate),"WORK OVERDUE ",""))</f>
        <v/>
      </c>
      <c r="H57" s="11" t="str">
        <f t="shared" si="8"/>
        <v/>
      </c>
      <c r="I57" s="8"/>
      <c r="J57" s="8"/>
      <c r="K57" s="9"/>
      <c r="L57" s="9"/>
      <c r="M57" s="9"/>
      <c r="N57" s="8"/>
      <c r="O57" s="8"/>
      <c r="P57" s="8"/>
      <c r="Q57" s="8"/>
      <c r="R57" s="8"/>
      <c r="S57" s="8"/>
      <c r="T57" s="8"/>
      <c r="U57" s="8"/>
      <c r="V57" s="11" t="str">
        <f t="shared" si="9"/>
        <v/>
      </c>
      <c r="W57" s="11" t="str">
        <f t="shared" si="10"/>
        <v/>
      </c>
      <c r="X57" s="11" t="str">
        <f t="shared" si="11"/>
        <v/>
      </c>
      <c r="Y57" s="11" t="str">
        <f t="shared" si="12"/>
        <v/>
      </c>
      <c r="Z57" s="11" t="str">
        <f t="shared" si="13"/>
        <v/>
      </c>
    </row>
    <row r="58" spans="1:26" ht="60" customHeight="1">
      <c r="A58" s="8"/>
      <c r="B58" s="8"/>
      <c r="C58" s="8"/>
      <c r="D58" s="8"/>
      <c r="E58" s="9"/>
      <c r="F58" s="11" t="str">
        <f t="shared" si="7"/>
        <v/>
      </c>
      <c r="G58" s="20" t="str">
        <f>IF(A58="","",IF(COUNTIF('06 - FLOW'!$A$9:$A$58,A58)&gt;1,"DUPLICATE ID ","")&amp;IF(ReviewDate="","SET REVIEW DATE ","")&amp;IF(AND(N58="Yes",L58=""),"WAITING DATE MISSING ","")&amp;IF(AND(ISNUMBER(V58),V58&gt;=BlockDays),"BLOCKER AGE THRESHOLD ","")&amp;IF(T58&gt;=MoveCount,"REPEATED MILESTONE MOVEMENT ","")&amp;IF(AND(C58="Accepted",M58=""),"ACCEPTANCE DATE MISSING ","")&amp;IF(AND(C58&lt;&gt;"Accepted",ISNUMBER(E58),E58&lt;ReviewDate),"WORK OVERDUE ",""))</f>
        <v/>
      </c>
      <c r="H58" s="11" t="str">
        <f t="shared" si="8"/>
        <v/>
      </c>
      <c r="I58" s="8"/>
      <c r="J58" s="8"/>
      <c r="K58" s="9"/>
      <c r="L58" s="9"/>
      <c r="M58" s="9"/>
      <c r="N58" s="8"/>
      <c r="O58" s="8"/>
      <c r="P58" s="8"/>
      <c r="Q58" s="8"/>
      <c r="R58" s="8"/>
      <c r="S58" s="8"/>
      <c r="T58" s="8"/>
      <c r="U58" s="8"/>
      <c r="V58" s="11" t="str">
        <f t="shared" si="9"/>
        <v/>
      </c>
      <c r="W58" s="11" t="str">
        <f t="shared" si="10"/>
        <v/>
      </c>
      <c r="X58" s="11" t="str">
        <f t="shared" si="11"/>
        <v/>
      </c>
      <c r="Y58" s="11" t="str">
        <f t="shared" si="12"/>
        <v/>
      </c>
      <c r="Z58" s="11" t="str">
        <f t="shared" si="13"/>
        <v/>
      </c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</sheetData>
  <mergeCells count="2">
    <mergeCell ref="A4:J4"/>
    <mergeCell ref="C6:J6"/>
  </mergeCells>
  <conditionalFormatting sqref="F9:F58">
    <cfRule type="containsText" dxfId="11" priority="2" operator="containsText" text="Critical"/>
  </conditionalFormatting>
  <conditionalFormatting sqref="G9:G58">
    <cfRule type="containsText" dxfId="10" priority="1" operator="containsText" text="MISSING"/>
  </conditionalFormatting>
  <dataValidations count="2">
    <dataValidation type="list" sqref="C9:C58" xr:uid="{00000000-0002-0000-0600-000000000000}">
      <formula1>Stage</formula1>
    </dataValidation>
    <dataValidation type="list" sqref="N9:N58" xr:uid="{00000000-0002-0000-0600-000001000000}">
      <formula1>YesNo</formula1>
    </dataValidation>
  </dataValidations>
  <hyperlinks>
    <hyperlink ref="A6" location="'00 - START HERE'!A1" display="Start here" xr:uid="{00000000-0004-0000-06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87C78"/>
  </sheetPr>
  <dimension ref="A1:AH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11" width="20" customWidth="1"/>
    <col min="12" max="17" width="32" customWidth="1"/>
    <col min="18" max="18" width="20" customWidth="1"/>
    <col min="19" max="19" width="32" customWidth="1"/>
    <col min="20" max="21" width="20" customWidth="1"/>
    <col min="22" max="23" width="32" customWidth="1"/>
    <col min="24" max="26" width="20" customWidth="1"/>
    <col min="27" max="27" width="32" customWidth="1"/>
    <col min="28" max="34" width="20" customWidth="1"/>
  </cols>
  <sheetData>
    <row r="1" spans="1:34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2.1" customHeight="1">
      <c r="A2" s="2" t="s">
        <v>308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33.950000000000003" customHeight="1">
      <c r="A4" s="21" t="s">
        <v>309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"&amp;SUMPRODUCT(--('07 - EVIDENCE &amp; ASSURANCE'!$A$9:$A$58=""),--('07 - EVIDENCE &amp; ASSURANCE'!$B$9:$B$58&lt;&gt;""))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33.950000000000003" customHeight="1">
      <c r="A8" s="5" t="s">
        <v>131</v>
      </c>
      <c r="B8" s="5" t="s">
        <v>310</v>
      </c>
      <c r="C8" s="5" t="s">
        <v>191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239</v>
      </c>
      <c r="K8" s="5" t="s">
        <v>311</v>
      </c>
      <c r="L8" s="5" t="s">
        <v>312</v>
      </c>
      <c r="M8" s="5" t="s">
        <v>313</v>
      </c>
      <c r="N8" s="5" t="s">
        <v>314</v>
      </c>
      <c r="O8" s="5" t="s">
        <v>315</v>
      </c>
      <c r="P8" s="5" t="s">
        <v>316</v>
      </c>
      <c r="Q8" s="5" t="s">
        <v>317</v>
      </c>
      <c r="R8" s="5" t="s">
        <v>318</v>
      </c>
      <c r="S8" s="5" t="s">
        <v>319</v>
      </c>
      <c r="T8" s="5" t="s">
        <v>320</v>
      </c>
      <c r="U8" s="5" t="s">
        <v>321</v>
      </c>
      <c r="V8" s="5" t="s">
        <v>322</v>
      </c>
      <c r="W8" s="5" t="s">
        <v>323</v>
      </c>
      <c r="X8" s="5" t="s">
        <v>324</v>
      </c>
      <c r="Y8" s="5" t="s">
        <v>325</v>
      </c>
      <c r="Z8" s="5" t="s">
        <v>326</v>
      </c>
      <c r="AA8" s="5" t="s">
        <v>327</v>
      </c>
      <c r="AB8" s="5" t="s">
        <v>328</v>
      </c>
      <c r="AC8" s="5" t="s">
        <v>329</v>
      </c>
      <c r="AD8" s="5" t="s">
        <v>330</v>
      </c>
      <c r="AE8" s="5" t="s">
        <v>331</v>
      </c>
      <c r="AF8" s="5" t="s">
        <v>332</v>
      </c>
      <c r="AG8" s="5" t="s">
        <v>333</v>
      </c>
      <c r="AH8" s="5" t="s">
        <v>334</v>
      </c>
    </row>
    <row r="9" spans="1:34" ht="39.6" customHeight="1">
      <c r="A9" s="8" t="s">
        <v>179</v>
      </c>
      <c r="B9" s="8" t="s">
        <v>335</v>
      </c>
      <c r="C9" s="8" t="s">
        <v>265</v>
      </c>
      <c r="D9" s="8" t="s">
        <v>176</v>
      </c>
      <c r="E9" s="9">
        <v>46294</v>
      </c>
      <c r="F9" s="11" t="str">
        <f t="shared" ref="F9:F40" si="0">IF(A9="","",IF(AND(AB9="Yes",G9&lt;&gt;""),"Critical",IF(G9&lt;&gt;"","Review","Routine")))</f>
        <v>Critical</v>
      </c>
      <c r="G9" s="20" t="str">
        <f>IF(A9="","",IF(COUNTIF('07 - EVIDENCE &amp; ASSURANCE'!$A$9:$A$58,A9)&gt;1,"DUPLICATE ID ","")&amp;IF(ReviewDate="","SET REVIEW DATE ","")&amp;IF(T9&lt;&gt;"Pass","REPRESENTATIVE CAPABILITY NOT VERIFIED ","")&amp;IF(V9="","MISSING EVIDENCE ","")&amp;IF(AND(ISNUMBER(AH9),AH9&lt;ReviewDate),"EXPIRED EVIDENCE ","")&amp;IF(W9="","EVIDENCE DATE MISSING ","")&amp;IF(U9="","CLAIM WITHOUT REVIEWER ","")&amp;IF(S9="","CLAIM WITHOUT CRITERIA ","")&amp;IF(AND(AF9="Yes",AC9="Technical test only"),"READINESS NOT DEMONSTRATED ","")&amp;IF(AND(AG9="Yes",OR(AD9="",AE9="")),"BENEFIT CLAIM UNSUPPORTED ",""))</f>
        <v xml:space="preserve">REPRESENTATIVE CAPABILITY NOT VERIFIED </v>
      </c>
      <c r="H9" s="11" t="str">
        <f t="shared" ref="H9:H40" si="1">IF(A9="","",IF(G9&lt;&gt;"","Commission targeted evidence before the commitment date.",""))</f>
        <v>Commission targeted evidence before the commitment date.</v>
      </c>
      <c r="I9" s="8" t="s">
        <v>336</v>
      </c>
      <c r="J9" s="8" t="s">
        <v>337</v>
      </c>
      <c r="K9" s="8" t="s">
        <v>170</v>
      </c>
      <c r="L9" s="8" t="s">
        <v>338</v>
      </c>
      <c r="M9" s="8" t="s">
        <v>339</v>
      </c>
      <c r="N9" s="8" t="s">
        <v>340</v>
      </c>
      <c r="O9" s="8" t="s">
        <v>341</v>
      </c>
      <c r="P9" s="8" t="s">
        <v>342</v>
      </c>
      <c r="Q9" s="8" t="s">
        <v>343</v>
      </c>
      <c r="R9" s="8" t="s">
        <v>344</v>
      </c>
      <c r="S9" s="8" t="s">
        <v>345</v>
      </c>
      <c r="T9" s="8" t="s">
        <v>346</v>
      </c>
      <c r="U9" s="8" t="s">
        <v>176</v>
      </c>
      <c r="V9" s="8" t="s">
        <v>347</v>
      </c>
      <c r="W9" s="9">
        <v>46287</v>
      </c>
      <c r="X9" s="9"/>
      <c r="Y9" s="8" t="s">
        <v>348</v>
      </c>
      <c r="Z9" s="8" t="s">
        <v>349</v>
      </c>
      <c r="AA9" s="8" t="s">
        <v>350</v>
      </c>
      <c r="AB9" s="8" t="s">
        <v>305</v>
      </c>
      <c r="AC9" s="8" t="s">
        <v>351</v>
      </c>
      <c r="AD9" s="8"/>
      <c r="AE9" s="8"/>
      <c r="AF9" s="8" t="s">
        <v>275</v>
      </c>
      <c r="AG9" s="8" t="s">
        <v>275</v>
      </c>
      <c r="AH9" s="12">
        <f t="shared" ref="AH9:AH40" si="2">IF(A9="","",IF(ISNUMBER(X9),X9,IF(ISNUMBER(W9),W9+FreshDays,"")))</f>
        <v>46317</v>
      </c>
    </row>
    <row r="10" spans="1:34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IF(A10="","",IF(COUNTIF('07 - EVIDENCE &amp; ASSURANCE'!$A$9:$A$58,A10)&gt;1,"DUPLICATE ID ","")&amp;IF(ReviewDate="","SET REVIEW DATE ","")&amp;IF(T10&lt;&gt;"Pass","REPRESENTATIVE CAPABILITY NOT VERIFIED ","")&amp;IF(V10="","MISSING EVIDENCE ","")&amp;IF(AND(ISNUMBER(AH10),AH10&lt;ReviewDate),"EXPIRED EVIDENCE ","")&amp;IF(W10="","EVIDENCE DATE MISSING ","")&amp;IF(U10="","CLAIM WITHOUT REVIEWER ","")&amp;IF(S10="","CLAIM WITHOUT CRITERIA ","")&amp;IF(AND(AF10="Yes",AC10="Technical test only"),"READINESS NOT DEMONSTRATED ","")&amp;IF(AND(AG10="Yes",OR(AD10="",AE10="")),"BENEFIT CLAIM UNSUPPORTED ",""))</f>
        <v/>
      </c>
      <c r="H10" s="11" t="str">
        <f t="shared" si="1"/>
        <v/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9"/>
      <c r="X10" s="9"/>
      <c r="Y10" s="8"/>
      <c r="Z10" s="8"/>
      <c r="AA10" s="8"/>
      <c r="AB10" s="8"/>
      <c r="AC10" s="8"/>
      <c r="AD10" s="8"/>
      <c r="AE10" s="8"/>
      <c r="AF10" s="8"/>
      <c r="AG10" s="8"/>
      <c r="AH10" s="12" t="str">
        <f t="shared" si="2"/>
        <v/>
      </c>
    </row>
    <row r="11" spans="1:34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IF(A11="","",IF(COUNTIF('07 - EVIDENCE &amp; ASSURANCE'!$A$9:$A$58,A11)&gt;1,"DUPLICATE ID ","")&amp;IF(ReviewDate="","SET REVIEW DATE ","")&amp;IF(T11&lt;&gt;"Pass","REPRESENTATIVE CAPABILITY NOT VERIFIED ","")&amp;IF(V11="","MISSING EVIDENCE ","")&amp;IF(AND(ISNUMBER(AH11),AH11&lt;ReviewDate),"EXPIRED EVIDENCE ","")&amp;IF(W11="","EVIDENCE DATE MISSING ","")&amp;IF(U11="","CLAIM WITHOUT REVIEWER ","")&amp;IF(S11="","CLAIM WITHOUT CRITERIA ","")&amp;IF(AND(AF11="Yes",AC11="Technical test only"),"READINESS NOT DEMONSTRATED ","")&amp;IF(AND(AG11="Yes",OR(AD11="",AE11="")),"BENEFIT CLAIM UNSUPPORTED ",""))</f>
        <v/>
      </c>
      <c r="H11" s="11" t="str">
        <f t="shared" si="1"/>
        <v/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9"/>
      <c r="X11" s="9"/>
      <c r="Y11" s="8"/>
      <c r="Z11" s="8"/>
      <c r="AA11" s="8"/>
      <c r="AB11" s="8"/>
      <c r="AC11" s="8"/>
      <c r="AD11" s="8"/>
      <c r="AE11" s="8"/>
      <c r="AF11" s="8"/>
      <c r="AG11" s="8"/>
      <c r="AH11" s="12" t="str">
        <f t="shared" si="2"/>
        <v/>
      </c>
    </row>
    <row r="12" spans="1:34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IF(A12="","",IF(COUNTIF('07 - EVIDENCE &amp; ASSURANCE'!$A$9:$A$58,A12)&gt;1,"DUPLICATE ID ","")&amp;IF(ReviewDate="","SET REVIEW DATE ","")&amp;IF(T12&lt;&gt;"Pass","REPRESENTATIVE CAPABILITY NOT VERIFIED ","")&amp;IF(V12="","MISSING EVIDENCE ","")&amp;IF(AND(ISNUMBER(AH12),AH12&lt;ReviewDate),"EXPIRED EVIDENCE ","")&amp;IF(W12="","EVIDENCE DATE MISSING ","")&amp;IF(U12="","CLAIM WITHOUT REVIEWER ","")&amp;IF(S12="","CLAIM WITHOUT CRITERIA ","")&amp;IF(AND(AF12="Yes",AC12="Technical test only"),"READINESS NOT DEMONSTRATED ","")&amp;IF(AND(AG12="Yes",OR(AD12="",AE12="")),"BENEFIT CLAIM UNSUPPORTED ",""))</f>
        <v/>
      </c>
      <c r="H12" s="11" t="str">
        <f t="shared" si="1"/>
        <v/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9"/>
      <c r="X12" s="9"/>
      <c r="Y12" s="8"/>
      <c r="Z12" s="8"/>
      <c r="AA12" s="8"/>
      <c r="AB12" s="8"/>
      <c r="AC12" s="8"/>
      <c r="AD12" s="8"/>
      <c r="AE12" s="8"/>
      <c r="AF12" s="8"/>
      <c r="AG12" s="8"/>
      <c r="AH12" s="12" t="str">
        <f t="shared" si="2"/>
        <v/>
      </c>
    </row>
    <row r="13" spans="1:34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IF(A13="","",IF(COUNTIF('07 - EVIDENCE &amp; ASSURANCE'!$A$9:$A$58,A13)&gt;1,"DUPLICATE ID ","")&amp;IF(ReviewDate="","SET REVIEW DATE ","")&amp;IF(T13&lt;&gt;"Pass","REPRESENTATIVE CAPABILITY NOT VERIFIED ","")&amp;IF(V13="","MISSING EVIDENCE ","")&amp;IF(AND(ISNUMBER(AH13),AH13&lt;ReviewDate),"EXPIRED EVIDENCE ","")&amp;IF(W13="","EVIDENCE DATE MISSING ","")&amp;IF(U13="","CLAIM WITHOUT REVIEWER ","")&amp;IF(S13="","CLAIM WITHOUT CRITERIA ","")&amp;IF(AND(AF13="Yes",AC13="Technical test only"),"READINESS NOT DEMONSTRATED ","")&amp;IF(AND(AG13="Yes",OR(AD13="",AE13="")),"BENEFIT CLAIM UNSUPPORTED ",""))</f>
        <v/>
      </c>
      <c r="H13" s="11" t="str">
        <f t="shared" si="1"/>
        <v/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12" t="str">
        <f t="shared" si="2"/>
        <v/>
      </c>
    </row>
    <row r="14" spans="1:34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IF(A14="","",IF(COUNTIF('07 - EVIDENCE &amp; ASSURANCE'!$A$9:$A$58,A14)&gt;1,"DUPLICATE ID ","")&amp;IF(ReviewDate="","SET REVIEW DATE ","")&amp;IF(T14&lt;&gt;"Pass","REPRESENTATIVE CAPABILITY NOT VERIFIED ","")&amp;IF(V14="","MISSING EVIDENCE ","")&amp;IF(AND(ISNUMBER(AH14),AH14&lt;ReviewDate),"EXPIRED EVIDENCE ","")&amp;IF(W14="","EVIDENCE DATE MISSING ","")&amp;IF(U14="","CLAIM WITHOUT REVIEWER ","")&amp;IF(S14="","CLAIM WITHOUT CRITERIA ","")&amp;IF(AND(AF14="Yes",AC14="Technical test only"),"READINESS NOT DEMONSTRATED ","")&amp;IF(AND(AG14="Yes",OR(AD14="",AE14="")),"BENEFIT CLAIM UNSUPPORTED ",""))</f>
        <v/>
      </c>
      <c r="H14" s="11" t="str">
        <f t="shared" si="1"/>
        <v/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9"/>
      <c r="X14" s="9"/>
      <c r="Y14" s="8"/>
      <c r="Z14" s="8"/>
      <c r="AA14" s="8"/>
      <c r="AB14" s="8"/>
      <c r="AC14" s="8"/>
      <c r="AD14" s="8"/>
      <c r="AE14" s="8"/>
      <c r="AF14" s="8"/>
      <c r="AG14" s="8"/>
      <c r="AH14" s="12" t="str">
        <f t="shared" si="2"/>
        <v/>
      </c>
    </row>
    <row r="15" spans="1:34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IF(A15="","",IF(COUNTIF('07 - EVIDENCE &amp; ASSURANCE'!$A$9:$A$58,A15)&gt;1,"DUPLICATE ID ","")&amp;IF(ReviewDate="","SET REVIEW DATE ","")&amp;IF(T15&lt;&gt;"Pass","REPRESENTATIVE CAPABILITY NOT VERIFIED ","")&amp;IF(V15="","MISSING EVIDENCE ","")&amp;IF(AND(ISNUMBER(AH15),AH15&lt;ReviewDate),"EXPIRED EVIDENCE ","")&amp;IF(W15="","EVIDENCE DATE MISSING ","")&amp;IF(U15="","CLAIM WITHOUT REVIEWER ","")&amp;IF(S15="","CLAIM WITHOUT CRITERIA ","")&amp;IF(AND(AF15="Yes",AC15="Technical test only"),"READINESS NOT DEMONSTRATED ","")&amp;IF(AND(AG15="Yes",OR(AD15="",AE15="")),"BENEFIT CLAIM UNSUPPORTED ",""))</f>
        <v/>
      </c>
      <c r="H15" s="11" t="str">
        <f t="shared" si="1"/>
        <v/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9"/>
      <c r="X15" s="9"/>
      <c r="Y15" s="8"/>
      <c r="Z15" s="8"/>
      <c r="AA15" s="8"/>
      <c r="AB15" s="8"/>
      <c r="AC15" s="8"/>
      <c r="AD15" s="8"/>
      <c r="AE15" s="8"/>
      <c r="AF15" s="8"/>
      <c r="AG15" s="8"/>
      <c r="AH15" s="12" t="str">
        <f t="shared" si="2"/>
        <v/>
      </c>
    </row>
    <row r="16" spans="1:34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IF(A16="","",IF(COUNTIF('07 - EVIDENCE &amp; ASSURANCE'!$A$9:$A$58,A16)&gt;1,"DUPLICATE ID ","")&amp;IF(ReviewDate="","SET REVIEW DATE ","")&amp;IF(T16&lt;&gt;"Pass","REPRESENTATIVE CAPABILITY NOT VERIFIED ","")&amp;IF(V16="","MISSING EVIDENCE ","")&amp;IF(AND(ISNUMBER(AH16),AH16&lt;ReviewDate),"EXPIRED EVIDENCE ","")&amp;IF(W16="","EVIDENCE DATE MISSING ","")&amp;IF(U16="","CLAIM WITHOUT REVIEWER ","")&amp;IF(S16="","CLAIM WITHOUT CRITERIA ","")&amp;IF(AND(AF16="Yes",AC16="Technical test only"),"READINESS NOT DEMONSTRATED ","")&amp;IF(AND(AG16="Yes",OR(AD16="",AE16="")),"BENEFIT CLAIM UNSUPPORTED ",""))</f>
        <v/>
      </c>
      <c r="H16" s="11" t="str">
        <f t="shared" si="1"/>
        <v/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9"/>
      <c r="X16" s="9"/>
      <c r="Y16" s="8"/>
      <c r="Z16" s="8"/>
      <c r="AA16" s="8"/>
      <c r="AB16" s="8"/>
      <c r="AC16" s="8"/>
      <c r="AD16" s="8"/>
      <c r="AE16" s="8"/>
      <c r="AF16" s="8"/>
      <c r="AG16" s="8"/>
      <c r="AH16" s="12" t="str">
        <f t="shared" si="2"/>
        <v/>
      </c>
    </row>
    <row r="17" spans="1:34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IF(A17="","",IF(COUNTIF('07 - EVIDENCE &amp; ASSURANCE'!$A$9:$A$58,A17)&gt;1,"DUPLICATE ID ","")&amp;IF(ReviewDate="","SET REVIEW DATE ","")&amp;IF(T17&lt;&gt;"Pass","REPRESENTATIVE CAPABILITY NOT VERIFIED ","")&amp;IF(V17="","MISSING EVIDENCE ","")&amp;IF(AND(ISNUMBER(AH17),AH17&lt;ReviewDate),"EXPIRED EVIDENCE ","")&amp;IF(W17="","EVIDENCE DATE MISSING ","")&amp;IF(U17="","CLAIM WITHOUT REVIEWER ","")&amp;IF(S17="","CLAIM WITHOUT CRITERIA ","")&amp;IF(AND(AF17="Yes",AC17="Technical test only"),"READINESS NOT DEMONSTRATED ","")&amp;IF(AND(AG17="Yes",OR(AD17="",AE17="")),"BENEFIT CLAIM UNSUPPORTED ",""))</f>
        <v/>
      </c>
      <c r="H17" s="11" t="str">
        <f t="shared" si="1"/>
        <v/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9"/>
      <c r="X17" s="9"/>
      <c r="Y17" s="8"/>
      <c r="Z17" s="8"/>
      <c r="AA17" s="8"/>
      <c r="AB17" s="8"/>
      <c r="AC17" s="8"/>
      <c r="AD17" s="8"/>
      <c r="AE17" s="8"/>
      <c r="AF17" s="8"/>
      <c r="AG17" s="8"/>
      <c r="AH17" s="12" t="str">
        <f t="shared" si="2"/>
        <v/>
      </c>
    </row>
    <row r="18" spans="1:34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IF(A18="","",IF(COUNTIF('07 - EVIDENCE &amp; ASSURANCE'!$A$9:$A$58,A18)&gt;1,"DUPLICATE ID ","")&amp;IF(ReviewDate="","SET REVIEW DATE ","")&amp;IF(T18&lt;&gt;"Pass","REPRESENTATIVE CAPABILITY NOT VERIFIED ","")&amp;IF(V18="","MISSING EVIDENCE ","")&amp;IF(AND(ISNUMBER(AH18),AH18&lt;ReviewDate),"EXPIRED EVIDENCE ","")&amp;IF(W18="","EVIDENCE DATE MISSING ","")&amp;IF(U18="","CLAIM WITHOUT REVIEWER ","")&amp;IF(S18="","CLAIM WITHOUT CRITERIA ","")&amp;IF(AND(AF18="Yes",AC18="Technical test only"),"READINESS NOT DEMONSTRATED ","")&amp;IF(AND(AG18="Yes",OR(AD18="",AE18="")),"BENEFIT CLAIM UNSUPPORTED ",""))</f>
        <v/>
      </c>
      <c r="H18" s="11" t="str">
        <f t="shared" si="1"/>
        <v/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9"/>
      <c r="X18" s="9"/>
      <c r="Y18" s="8"/>
      <c r="Z18" s="8"/>
      <c r="AA18" s="8"/>
      <c r="AB18" s="8"/>
      <c r="AC18" s="8"/>
      <c r="AD18" s="8"/>
      <c r="AE18" s="8"/>
      <c r="AF18" s="8"/>
      <c r="AG18" s="8"/>
      <c r="AH18" s="12" t="str">
        <f t="shared" si="2"/>
        <v/>
      </c>
    </row>
    <row r="19" spans="1:34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IF(A19="","",IF(COUNTIF('07 - EVIDENCE &amp; ASSURANCE'!$A$9:$A$58,A19)&gt;1,"DUPLICATE ID ","")&amp;IF(ReviewDate="","SET REVIEW DATE ","")&amp;IF(T19&lt;&gt;"Pass","REPRESENTATIVE CAPABILITY NOT VERIFIED ","")&amp;IF(V19="","MISSING EVIDENCE ","")&amp;IF(AND(ISNUMBER(AH19),AH19&lt;ReviewDate),"EXPIRED EVIDENCE ","")&amp;IF(W19="","EVIDENCE DATE MISSING ","")&amp;IF(U19="","CLAIM WITHOUT REVIEWER ","")&amp;IF(S19="","CLAIM WITHOUT CRITERIA ","")&amp;IF(AND(AF19="Yes",AC19="Technical test only"),"READINESS NOT DEMONSTRATED ","")&amp;IF(AND(AG19="Yes",OR(AD19="",AE19="")),"BENEFIT CLAIM UNSUPPORTED ",""))</f>
        <v/>
      </c>
      <c r="H19" s="11" t="str">
        <f t="shared" si="1"/>
        <v/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9"/>
      <c r="X19" s="9"/>
      <c r="Y19" s="8"/>
      <c r="Z19" s="8"/>
      <c r="AA19" s="8"/>
      <c r="AB19" s="8"/>
      <c r="AC19" s="8"/>
      <c r="AD19" s="8"/>
      <c r="AE19" s="8"/>
      <c r="AF19" s="8"/>
      <c r="AG19" s="8"/>
      <c r="AH19" s="12" t="str">
        <f t="shared" si="2"/>
        <v/>
      </c>
    </row>
    <row r="20" spans="1:34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IF(A20="","",IF(COUNTIF('07 - EVIDENCE &amp; ASSURANCE'!$A$9:$A$58,A20)&gt;1,"DUPLICATE ID ","")&amp;IF(ReviewDate="","SET REVIEW DATE ","")&amp;IF(T20&lt;&gt;"Pass","REPRESENTATIVE CAPABILITY NOT VERIFIED ","")&amp;IF(V20="","MISSING EVIDENCE ","")&amp;IF(AND(ISNUMBER(AH20),AH20&lt;ReviewDate),"EXPIRED EVIDENCE ","")&amp;IF(W20="","EVIDENCE DATE MISSING ","")&amp;IF(U20="","CLAIM WITHOUT REVIEWER ","")&amp;IF(S20="","CLAIM WITHOUT CRITERIA ","")&amp;IF(AND(AF20="Yes",AC20="Technical test only"),"READINESS NOT DEMONSTRATED ","")&amp;IF(AND(AG20="Yes",OR(AD20="",AE20="")),"BENEFIT CLAIM UNSUPPORTED ",""))</f>
        <v/>
      </c>
      <c r="H20" s="11" t="str">
        <f t="shared" si="1"/>
        <v/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9"/>
      <c r="X20" s="9"/>
      <c r="Y20" s="8"/>
      <c r="Z20" s="8"/>
      <c r="AA20" s="8"/>
      <c r="AB20" s="8"/>
      <c r="AC20" s="8"/>
      <c r="AD20" s="8"/>
      <c r="AE20" s="8"/>
      <c r="AF20" s="8"/>
      <c r="AG20" s="8"/>
      <c r="AH20" s="12" t="str">
        <f t="shared" si="2"/>
        <v/>
      </c>
    </row>
    <row r="21" spans="1:34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IF(A21="","",IF(COUNTIF('07 - EVIDENCE &amp; ASSURANCE'!$A$9:$A$58,A21)&gt;1,"DUPLICATE ID ","")&amp;IF(ReviewDate="","SET REVIEW DATE ","")&amp;IF(T21&lt;&gt;"Pass","REPRESENTATIVE CAPABILITY NOT VERIFIED ","")&amp;IF(V21="","MISSING EVIDENCE ","")&amp;IF(AND(ISNUMBER(AH21),AH21&lt;ReviewDate),"EXPIRED EVIDENCE ","")&amp;IF(W21="","EVIDENCE DATE MISSING ","")&amp;IF(U21="","CLAIM WITHOUT REVIEWER ","")&amp;IF(S21="","CLAIM WITHOUT CRITERIA ","")&amp;IF(AND(AF21="Yes",AC21="Technical test only"),"READINESS NOT DEMONSTRATED ","")&amp;IF(AND(AG21="Yes",OR(AD21="",AE21="")),"BENEFIT CLAIM UNSUPPORTED ",""))</f>
        <v/>
      </c>
      <c r="H21" s="11" t="str">
        <f t="shared" si="1"/>
        <v/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9"/>
      <c r="X21" s="9"/>
      <c r="Y21" s="8"/>
      <c r="Z21" s="8"/>
      <c r="AA21" s="8"/>
      <c r="AB21" s="8"/>
      <c r="AC21" s="8"/>
      <c r="AD21" s="8"/>
      <c r="AE21" s="8"/>
      <c r="AF21" s="8"/>
      <c r="AG21" s="8"/>
      <c r="AH21" s="12" t="str">
        <f t="shared" si="2"/>
        <v/>
      </c>
    </row>
    <row r="22" spans="1:34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IF(A22="","",IF(COUNTIF('07 - EVIDENCE &amp; ASSURANCE'!$A$9:$A$58,A22)&gt;1,"DUPLICATE ID ","")&amp;IF(ReviewDate="","SET REVIEW DATE ","")&amp;IF(T22&lt;&gt;"Pass","REPRESENTATIVE CAPABILITY NOT VERIFIED ","")&amp;IF(V22="","MISSING EVIDENCE ","")&amp;IF(AND(ISNUMBER(AH22),AH22&lt;ReviewDate),"EXPIRED EVIDENCE ","")&amp;IF(W22="","EVIDENCE DATE MISSING ","")&amp;IF(U22="","CLAIM WITHOUT REVIEWER ","")&amp;IF(S22="","CLAIM WITHOUT CRITERIA ","")&amp;IF(AND(AF22="Yes",AC22="Technical test only"),"READINESS NOT DEMONSTRATED ","")&amp;IF(AND(AG22="Yes",OR(AD22="",AE22="")),"BENEFIT CLAIM UNSUPPORTED ",""))</f>
        <v/>
      </c>
      <c r="H22" s="11" t="str">
        <f t="shared" si="1"/>
        <v/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9"/>
      <c r="X22" s="9"/>
      <c r="Y22" s="8"/>
      <c r="Z22" s="8"/>
      <c r="AA22" s="8"/>
      <c r="AB22" s="8"/>
      <c r="AC22" s="8"/>
      <c r="AD22" s="8"/>
      <c r="AE22" s="8"/>
      <c r="AF22" s="8"/>
      <c r="AG22" s="8"/>
      <c r="AH22" s="12" t="str">
        <f t="shared" si="2"/>
        <v/>
      </c>
    </row>
    <row r="23" spans="1:34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IF(A23="","",IF(COUNTIF('07 - EVIDENCE &amp; ASSURANCE'!$A$9:$A$58,A23)&gt;1,"DUPLICATE ID ","")&amp;IF(ReviewDate="","SET REVIEW DATE ","")&amp;IF(T23&lt;&gt;"Pass","REPRESENTATIVE CAPABILITY NOT VERIFIED ","")&amp;IF(V23="","MISSING EVIDENCE ","")&amp;IF(AND(ISNUMBER(AH23),AH23&lt;ReviewDate),"EXPIRED EVIDENCE ","")&amp;IF(W23="","EVIDENCE DATE MISSING ","")&amp;IF(U23="","CLAIM WITHOUT REVIEWER ","")&amp;IF(S23="","CLAIM WITHOUT CRITERIA ","")&amp;IF(AND(AF23="Yes",AC23="Technical test only"),"READINESS NOT DEMONSTRATED ","")&amp;IF(AND(AG23="Yes",OR(AD23="",AE23="")),"BENEFIT CLAIM UNSUPPORTED ",""))</f>
        <v/>
      </c>
      <c r="H23" s="11" t="str">
        <f t="shared" si="1"/>
        <v/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9"/>
      <c r="X23" s="9"/>
      <c r="Y23" s="8"/>
      <c r="Z23" s="8"/>
      <c r="AA23" s="8"/>
      <c r="AB23" s="8"/>
      <c r="AC23" s="8"/>
      <c r="AD23" s="8"/>
      <c r="AE23" s="8"/>
      <c r="AF23" s="8"/>
      <c r="AG23" s="8"/>
      <c r="AH23" s="12" t="str">
        <f t="shared" si="2"/>
        <v/>
      </c>
    </row>
    <row r="24" spans="1:34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IF(A24="","",IF(COUNTIF('07 - EVIDENCE &amp; ASSURANCE'!$A$9:$A$58,A24)&gt;1,"DUPLICATE ID ","")&amp;IF(ReviewDate="","SET REVIEW DATE ","")&amp;IF(T24&lt;&gt;"Pass","REPRESENTATIVE CAPABILITY NOT VERIFIED ","")&amp;IF(V24="","MISSING EVIDENCE ","")&amp;IF(AND(ISNUMBER(AH24),AH24&lt;ReviewDate),"EXPIRED EVIDENCE ","")&amp;IF(W24="","EVIDENCE DATE MISSING ","")&amp;IF(U24="","CLAIM WITHOUT REVIEWER ","")&amp;IF(S24="","CLAIM WITHOUT CRITERIA ","")&amp;IF(AND(AF24="Yes",AC24="Technical test only"),"READINESS NOT DEMONSTRATED ","")&amp;IF(AND(AG24="Yes",OR(AD24="",AE24="")),"BENEFIT CLAIM UNSUPPORTED ",""))</f>
        <v/>
      </c>
      <c r="H24" s="11" t="str">
        <f t="shared" si="1"/>
        <v/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9"/>
      <c r="X24" s="9"/>
      <c r="Y24" s="8"/>
      <c r="Z24" s="8"/>
      <c r="AA24" s="8"/>
      <c r="AB24" s="8"/>
      <c r="AC24" s="8"/>
      <c r="AD24" s="8"/>
      <c r="AE24" s="8"/>
      <c r="AF24" s="8"/>
      <c r="AG24" s="8"/>
      <c r="AH24" s="12" t="str">
        <f t="shared" si="2"/>
        <v/>
      </c>
    </row>
    <row r="25" spans="1:34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IF(A25="","",IF(COUNTIF('07 - EVIDENCE &amp; ASSURANCE'!$A$9:$A$58,A25)&gt;1,"DUPLICATE ID ","")&amp;IF(ReviewDate="","SET REVIEW DATE ","")&amp;IF(T25&lt;&gt;"Pass","REPRESENTATIVE CAPABILITY NOT VERIFIED ","")&amp;IF(V25="","MISSING EVIDENCE ","")&amp;IF(AND(ISNUMBER(AH25),AH25&lt;ReviewDate),"EXPIRED EVIDENCE ","")&amp;IF(W25="","EVIDENCE DATE MISSING ","")&amp;IF(U25="","CLAIM WITHOUT REVIEWER ","")&amp;IF(S25="","CLAIM WITHOUT CRITERIA ","")&amp;IF(AND(AF25="Yes",AC25="Technical test only"),"READINESS NOT DEMONSTRATED ","")&amp;IF(AND(AG25="Yes",OR(AD25="",AE25="")),"BENEFIT CLAIM UNSUPPORTED ",""))</f>
        <v/>
      </c>
      <c r="H25" s="11" t="str">
        <f t="shared" si="1"/>
        <v/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9"/>
      <c r="X25" s="9"/>
      <c r="Y25" s="8"/>
      <c r="Z25" s="8"/>
      <c r="AA25" s="8"/>
      <c r="AB25" s="8"/>
      <c r="AC25" s="8"/>
      <c r="AD25" s="8"/>
      <c r="AE25" s="8"/>
      <c r="AF25" s="8"/>
      <c r="AG25" s="8"/>
      <c r="AH25" s="12" t="str">
        <f t="shared" si="2"/>
        <v/>
      </c>
    </row>
    <row r="26" spans="1:34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IF(A26="","",IF(COUNTIF('07 - EVIDENCE &amp; ASSURANCE'!$A$9:$A$58,A26)&gt;1,"DUPLICATE ID ","")&amp;IF(ReviewDate="","SET REVIEW DATE ","")&amp;IF(T26&lt;&gt;"Pass","REPRESENTATIVE CAPABILITY NOT VERIFIED ","")&amp;IF(V26="","MISSING EVIDENCE ","")&amp;IF(AND(ISNUMBER(AH26),AH26&lt;ReviewDate),"EXPIRED EVIDENCE ","")&amp;IF(W26="","EVIDENCE DATE MISSING ","")&amp;IF(U26="","CLAIM WITHOUT REVIEWER ","")&amp;IF(S26="","CLAIM WITHOUT CRITERIA ","")&amp;IF(AND(AF26="Yes",AC26="Technical test only"),"READINESS NOT DEMONSTRATED ","")&amp;IF(AND(AG26="Yes",OR(AD26="",AE26="")),"BENEFIT CLAIM UNSUPPORTED ",""))</f>
        <v/>
      </c>
      <c r="H26" s="11" t="str">
        <f t="shared" si="1"/>
        <v/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9"/>
      <c r="X26" s="9"/>
      <c r="Y26" s="8"/>
      <c r="Z26" s="8"/>
      <c r="AA26" s="8"/>
      <c r="AB26" s="8"/>
      <c r="AC26" s="8"/>
      <c r="AD26" s="8"/>
      <c r="AE26" s="8"/>
      <c r="AF26" s="8"/>
      <c r="AG26" s="8"/>
      <c r="AH26" s="12" t="str">
        <f t="shared" si="2"/>
        <v/>
      </c>
    </row>
    <row r="27" spans="1:34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IF(A27="","",IF(COUNTIF('07 - EVIDENCE &amp; ASSURANCE'!$A$9:$A$58,A27)&gt;1,"DUPLICATE ID ","")&amp;IF(ReviewDate="","SET REVIEW DATE ","")&amp;IF(T27&lt;&gt;"Pass","REPRESENTATIVE CAPABILITY NOT VERIFIED ","")&amp;IF(V27="","MISSING EVIDENCE ","")&amp;IF(AND(ISNUMBER(AH27),AH27&lt;ReviewDate),"EXPIRED EVIDENCE ","")&amp;IF(W27="","EVIDENCE DATE MISSING ","")&amp;IF(U27="","CLAIM WITHOUT REVIEWER ","")&amp;IF(S27="","CLAIM WITHOUT CRITERIA ","")&amp;IF(AND(AF27="Yes",AC27="Technical test only"),"READINESS NOT DEMONSTRATED ","")&amp;IF(AND(AG27="Yes",OR(AD27="",AE27="")),"BENEFIT CLAIM UNSUPPORTED ",""))</f>
        <v/>
      </c>
      <c r="H27" s="11" t="str">
        <f t="shared" si="1"/>
        <v/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9"/>
      <c r="X27" s="9"/>
      <c r="Y27" s="8"/>
      <c r="Z27" s="8"/>
      <c r="AA27" s="8"/>
      <c r="AB27" s="8"/>
      <c r="AC27" s="8"/>
      <c r="AD27" s="8"/>
      <c r="AE27" s="8"/>
      <c r="AF27" s="8"/>
      <c r="AG27" s="8"/>
      <c r="AH27" s="12" t="str">
        <f t="shared" si="2"/>
        <v/>
      </c>
    </row>
    <row r="28" spans="1:34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IF(A28="","",IF(COUNTIF('07 - EVIDENCE &amp; ASSURANCE'!$A$9:$A$58,A28)&gt;1,"DUPLICATE ID ","")&amp;IF(ReviewDate="","SET REVIEW DATE ","")&amp;IF(T28&lt;&gt;"Pass","REPRESENTATIVE CAPABILITY NOT VERIFIED ","")&amp;IF(V28="","MISSING EVIDENCE ","")&amp;IF(AND(ISNUMBER(AH28),AH28&lt;ReviewDate),"EXPIRED EVIDENCE ","")&amp;IF(W28="","EVIDENCE DATE MISSING ","")&amp;IF(U28="","CLAIM WITHOUT REVIEWER ","")&amp;IF(S28="","CLAIM WITHOUT CRITERIA ","")&amp;IF(AND(AF28="Yes",AC28="Technical test only"),"READINESS NOT DEMONSTRATED ","")&amp;IF(AND(AG28="Yes",OR(AD28="",AE28="")),"BENEFIT CLAIM UNSUPPORTED ",""))</f>
        <v/>
      </c>
      <c r="H28" s="11" t="str">
        <f t="shared" si="1"/>
        <v/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9"/>
      <c r="X28" s="9"/>
      <c r="Y28" s="8"/>
      <c r="Z28" s="8"/>
      <c r="AA28" s="8"/>
      <c r="AB28" s="8"/>
      <c r="AC28" s="8"/>
      <c r="AD28" s="8"/>
      <c r="AE28" s="8"/>
      <c r="AF28" s="8"/>
      <c r="AG28" s="8"/>
      <c r="AH28" s="12" t="str">
        <f t="shared" si="2"/>
        <v/>
      </c>
    </row>
    <row r="29" spans="1:34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IF(A29="","",IF(COUNTIF('07 - EVIDENCE &amp; ASSURANCE'!$A$9:$A$58,A29)&gt;1,"DUPLICATE ID ","")&amp;IF(ReviewDate="","SET REVIEW DATE ","")&amp;IF(T29&lt;&gt;"Pass","REPRESENTATIVE CAPABILITY NOT VERIFIED ","")&amp;IF(V29="","MISSING EVIDENCE ","")&amp;IF(AND(ISNUMBER(AH29),AH29&lt;ReviewDate),"EXPIRED EVIDENCE ","")&amp;IF(W29="","EVIDENCE DATE MISSING ","")&amp;IF(U29="","CLAIM WITHOUT REVIEWER ","")&amp;IF(S29="","CLAIM WITHOUT CRITERIA ","")&amp;IF(AND(AF29="Yes",AC29="Technical test only"),"READINESS NOT DEMONSTRATED ","")&amp;IF(AND(AG29="Yes",OR(AD29="",AE29="")),"BENEFIT CLAIM UNSUPPORTED ",""))</f>
        <v/>
      </c>
      <c r="H29" s="11" t="str">
        <f t="shared" si="1"/>
        <v/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9"/>
      <c r="X29" s="9"/>
      <c r="Y29" s="8"/>
      <c r="Z29" s="8"/>
      <c r="AA29" s="8"/>
      <c r="AB29" s="8"/>
      <c r="AC29" s="8"/>
      <c r="AD29" s="8"/>
      <c r="AE29" s="8"/>
      <c r="AF29" s="8"/>
      <c r="AG29" s="8"/>
      <c r="AH29" s="12" t="str">
        <f t="shared" si="2"/>
        <v/>
      </c>
    </row>
    <row r="30" spans="1:34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IF(A30="","",IF(COUNTIF('07 - EVIDENCE &amp; ASSURANCE'!$A$9:$A$58,A30)&gt;1,"DUPLICATE ID ","")&amp;IF(ReviewDate="","SET REVIEW DATE ","")&amp;IF(T30&lt;&gt;"Pass","REPRESENTATIVE CAPABILITY NOT VERIFIED ","")&amp;IF(V30="","MISSING EVIDENCE ","")&amp;IF(AND(ISNUMBER(AH30),AH30&lt;ReviewDate),"EXPIRED EVIDENCE ","")&amp;IF(W30="","EVIDENCE DATE MISSING ","")&amp;IF(U30="","CLAIM WITHOUT REVIEWER ","")&amp;IF(S30="","CLAIM WITHOUT CRITERIA ","")&amp;IF(AND(AF30="Yes",AC30="Technical test only"),"READINESS NOT DEMONSTRATED ","")&amp;IF(AND(AG30="Yes",OR(AD30="",AE30="")),"BENEFIT CLAIM UNSUPPORTED ",""))</f>
        <v/>
      </c>
      <c r="H30" s="11" t="str">
        <f t="shared" si="1"/>
        <v/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9"/>
      <c r="X30" s="9"/>
      <c r="Y30" s="8"/>
      <c r="Z30" s="8"/>
      <c r="AA30" s="8"/>
      <c r="AB30" s="8"/>
      <c r="AC30" s="8"/>
      <c r="AD30" s="8"/>
      <c r="AE30" s="8"/>
      <c r="AF30" s="8"/>
      <c r="AG30" s="8"/>
      <c r="AH30" s="12" t="str">
        <f t="shared" si="2"/>
        <v/>
      </c>
    </row>
    <row r="31" spans="1:34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IF(A31="","",IF(COUNTIF('07 - EVIDENCE &amp; ASSURANCE'!$A$9:$A$58,A31)&gt;1,"DUPLICATE ID ","")&amp;IF(ReviewDate="","SET REVIEW DATE ","")&amp;IF(T31&lt;&gt;"Pass","REPRESENTATIVE CAPABILITY NOT VERIFIED ","")&amp;IF(V31="","MISSING EVIDENCE ","")&amp;IF(AND(ISNUMBER(AH31),AH31&lt;ReviewDate),"EXPIRED EVIDENCE ","")&amp;IF(W31="","EVIDENCE DATE MISSING ","")&amp;IF(U31="","CLAIM WITHOUT REVIEWER ","")&amp;IF(S31="","CLAIM WITHOUT CRITERIA ","")&amp;IF(AND(AF31="Yes",AC31="Technical test only"),"READINESS NOT DEMONSTRATED ","")&amp;IF(AND(AG31="Yes",OR(AD31="",AE31="")),"BENEFIT CLAIM UNSUPPORTED ",""))</f>
        <v/>
      </c>
      <c r="H31" s="11" t="str">
        <f t="shared" si="1"/>
        <v/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9"/>
      <c r="X31" s="9"/>
      <c r="Y31" s="8"/>
      <c r="Z31" s="8"/>
      <c r="AA31" s="8"/>
      <c r="AB31" s="8"/>
      <c r="AC31" s="8"/>
      <c r="AD31" s="8"/>
      <c r="AE31" s="8"/>
      <c r="AF31" s="8"/>
      <c r="AG31" s="8"/>
      <c r="AH31" s="12" t="str">
        <f t="shared" si="2"/>
        <v/>
      </c>
    </row>
    <row r="32" spans="1:34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IF(A32="","",IF(COUNTIF('07 - EVIDENCE &amp; ASSURANCE'!$A$9:$A$58,A32)&gt;1,"DUPLICATE ID ","")&amp;IF(ReviewDate="","SET REVIEW DATE ","")&amp;IF(T32&lt;&gt;"Pass","REPRESENTATIVE CAPABILITY NOT VERIFIED ","")&amp;IF(V32="","MISSING EVIDENCE ","")&amp;IF(AND(ISNUMBER(AH32),AH32&lt;ReviewDate),"EXPIRED EVIDENCE ","")&amp;IF(W32="","EVIDENCE DATE MISSING ","")&amp;IF(U32="","CLAIM WITHOUT REVIEWER ","")&amp;IF(S32="","CLAIM WITHOUT CRITERIA ","")&amp;IF(AND(AF32="Yes",AC32="Technical test only"),"READINESS NOT DEMONSTRATED ","")&amp;IF(AND(AG32="Yes",OR(AD32="",AE32="")),"BENEFIT CLAIM UNSUPPORTED ",""))</f>
        <v/>
      </c>
      <c r="H32" s="11" t="str">
        <f t="shared" si="1"/>
        <v/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9"/>
      <c r="X32" s="9"/>
      <c r="Y32" s="8"/>
      <c r="Z32" s="8"/>
      <c r="AA32" s="8"/>
      <c r="AB32" s="8"/>
      <c r="AC32" s="8"/>
      <c r="AD32" s="8"/>
      <c r="AE32" s="8"/>
      <c r="AF32" s="8"/>
      <c r="AG32" s="8"/>
      <c r="AH32" s="12" t="str">
        <f t="shared" si="2"/>
        <v/>
      </c>
    </row>
    <row r="33" spans="1:34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IF(A33="","",IF(COUNTIF('07 - EVIDENCE &amp; ASSURANCE'!$A$9:$A$58,A33)&gt;1,"DUPLICATE ID ","")&amp;IF(ReviewDate="","SET REVIEW DATE ","")&amp;IF(T33&lt;&gt;"Pass","REPRESENTATIVE CAPABILITY NOT VERIFIED ","")&amp;IF(V33="","MISSING EVIDENCE ","")&amp;IF(AND(ISNUMBER(AH33),AH33&lt;ReviewDate),"EXPIRED EVIDENCE ","")&amp;IF(W33="","EVIDENCE DATE MISSING ","")&amp;IF(U33="","CLAIM WITHOUT REVIEWER ","")&amp;IF(S33="","CLAIM WITHOUT CRITERIA ","")&amp;IF(AND(AF33="Yes",AC33="Technical test only"),"READINESS NOT DEMONSTRATED ","")&amp;IF(AND(AG33="Yes",OR(AD33="",AE33="")),"BENEFIT CLAIM UNSUPPORTED ",""))</f>
        <v/>
      </c>
      <c r="H33" s="11" t="str">
        <f t="shared" si="1"/>
        <v/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9"/>
      <c r="X33" s="9"/>
      <c r="Y33" s="8"/>
      <c r="Z33" s="8"/>
      <c r="AA33" s="8"/>
      <c r="AB33" s="8"/>
      <c r="AC33" s="8"/>
      <c r="AD33" s="8"/>
      <c r="AE33" s="8"/>
      <c r="AF33" s="8"/>
      <c r="AG33" s="8"/>
      <c r="AH33" s="12" t="str">
        <f t="shared" si="2"/>
        <v/>
      </c>
    </row>
    <row r="34" spans="1:34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IF(A34="","",IF(COUNTIF('07 - EVIDENCE &amp; ASSURANCE'!$A$9:$A$58,A34)&gt;1,"DUPLICATE ID ","")&amp;IF(ReviewDate="","SET REVIEW DATE ","")&amp;IF(T34&lt;&gt;"Pass","REPRESENTATIVE CAPABILITY NOT VERIFIED ","")&amp;IF(V34="","MISSING EVIDENCE ","")&amp;IF(AND(ISNUMBER(AH34),AH34&lt;ReviewDate),"EXPIRED EVIDENCE ","")&amp;IF(W34="","EVIDENCE DATE MISSING ","")&amp;IF(U34="","CLAIM WITHOUT REVIEWER ","")&amp;IF(S34="","CLAIM WITHOUT CRITERIA ","")&amp;IF(AND(AF34="Yes",AC34="Technical test only"),"READINESS NOT DEMONSTRATED ","")&amp;IF(AND(AG34="Yes",OR(AD34="",AE34="")),"BENEFIT CLAIM UNSUPPORTED ",""))</f>
        <v/>
      </c>
      <c r="H34" s="11" t="str">
        <f t="shared" si="1"/>
        <v/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9"/>
      <c r="X34" s="9"/>
      <c r="Y34" s="8"/>
      <c r="Z34" s="8"/>
      <c r="AA34" s="8"/>
      <c r="AB34" s="8"/>
      <c r="AC34" s="8"/>
      <c r="AD34" s="8"/>
      <c r="AE34" s="8"/>
      <c r="AF34" s="8"/>
      <c r="AG34" s="8"/>
      <c r="AH34" s="12" t="str">
        <f t="shared" si="2"/>
        <v/>
      </c>
    </row>
    <row r="35" spans="1:34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IF(A35="","",IF(COUNTIF('07 - EVIDENCE &amp; ASSURANCE'!$A$9:$A$58,A35)&gt;1,"DUPLICATE ID ","")&amp;IF(ReviewDate="","SET REVIEW DATE ","")&amp;IF(T35&lt;&gt;"Pass","REPRESENTATIVE CAPABILITY NOT VERIFIED ","")&amp;IF(V35="","MISSING EVIDENCE ","")&amp;IF(AND(ISNUMBER(AH35),AH35&lt;ReviewDate),"EXPIRED EVIDENCE ","")&amp;IF(W35="","EVIDENCE DATE MISSING ","")&amp;IF(U35="","CLAIM WITHOUT REVIEWER ","")&amp;IF(S35="","CLAIM WITHOUT CRITERIA ","")&amp;IF(AND(AF35="Yes",AC35="Technical test only"),"READINESS NOT DEMONSTRATED ","")&amp;IF(AND(AG35="Yes",OR(AD35="",AE35="")),"BENEFIT CLAIM UNSUPPORTED ",""))</f>
        <v/>
      </c>
      <c r="H35" s="11" t="str">
        <f t="shared" si="1"/>
        <v/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9"/>
      <c r="Y35" s="8"/>
      <c r="Z35" s="8"/>
      <c r="AA35" s="8"/>
      <c r="AB35" s="8"/>
      <c r="AC35" s="8"/>
      <c r="AD35" s="8"/>
      <c r="AE35" s="8"/>
      <c r="AF35" s="8"/>
      <c r="AG35" s="8"/>
      <c r="AH35" s="12" t="str">
        <f t="shared" si="2"/>
        <v/>
      </c>
    </row>
    <row r="36" spans="1:34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IF(A36="","",IF(COUNTIF('07 - EVIDENCE &amp; ASSURANCE'!$A$9:$A$58,A36)&gt;1,"DUPLICATE ID ","")&amp;IF(ReviewDate="","SET REVIEW DATE ","")&amp;IF(T36&lt;&gt;"Pass","REPRESENTATIVE CAPABILITY NOT VERIFIED ","")&amp;IF(V36="","MISSING EVIDENCE ","")&amp;IF(AND(ISNUMBER(AH36),AH36&lt;ReviewDate),"EXPIRED EVIDENCE ","")&amp;IF(W36="","EVIDENCE DATE MISSING ","")&amp;IF(U36="","CLAIM WITHOUT REVIEWER ","")&amp;IF(S36="","CLAIM WITHOUT CRITERIA ","")&amp;IF(AND(AF36="Yes",AC36="Technical test only"),"READINESS NOT DEMONSTRATED ","")&amp;IF(AND(AG36="Yes",OR(AD36="",AE36="")),"BENEFIT CLAIM UNSUPPORTED ",""))</f>
        <v/>
      </c>
      <c r="H36" s="11" t="str">
        <f t="shared" si="1"/>
        <v/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9"/>
      <c r="Y36" s="8"/>
      <c r="Z36" s="8"/>
      <c r="AA36" s="8"/>
      <c r="AB36" s="8"/>
      <c r="AC36" s="8"/>
      <c r="AD36" s="8"/>
      <c r="AE36" s="8"/>
      <c r="AF36" s="8"/>
      <c r="AG36" s="8"/>
      <c r="AH36" s="12" t="str">
        <f t="shared" si="2"/>
        <v/>
      </c>
    </row>
    <row r="37" spans="1:34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IF(A37="","",IF(COUNTIF('07 - EVIDENCE &amp; ASSURANCE'!$A$9:$A$58,A37)&gt;1,"DUPLICATE ID ","")&amp;IF(ReviewDate="","SET REVIEW DATE ","")&amp;IF(T37&lt;&gt;"Pass","REPRESENTATIVE CAPABILITY NOT VERIFIED ","")&amp;IF(V37="","MISSING EVIDENCE ","")&amp;IF(AND(ISNUMBER(AH37),AH37&lt;ReviewDate),"EXPIRED EVIDENCE ","")&amp;IF(W37="","EVIDENCE DATE MISSING ","")&amp;IF(U37="","CLAIM WITHOUT REVIEWER ","")&amp;IF(S37="","CLAIM WITHOUT CRITERIA ","")&amp;IF(AND(AF37="Yes",AC37="Technical test only"),"READINESS NOT DEMONSTRATED ","")&amp;IF(AND(AG37="Yes",OR(AD37="",AE37="")),"BENEFIT CLAIM UNSUPPORTED ",""))</f>
        <v/>
      </c>
      <c r="H37" s="11" t="str">
        <f t="shared" si="1"/>
        <v/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9"/>
      <c r="X37" s="9"/>
      <c r="Y37" s="8"/>
      <c r="Z37" s="8"/>
      <c r="AA37" s="8"/>
      <c r="AB37" s="8"/>
      <c r="AC37" s="8"/>
      <c r="AD37" s="8"/>
      <c r="AE37" s="8"/>
      <c r="AF37" s="8"/>
      <c r="AG37" s="8"/>
      <c r="AH37" s="12" t="str">
        <f t="shared" si="2"/>
        <v/>
      </c>
    </row>
    <row r="38" spans="1:34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IF(A38="","",IF(COUNTIF('07 - EVIDENCE &amp; ASSURANCE'!$A$9:$A$58,A38)&gt;1,"DUPLICATE ID ","")&amp;IF(ReviewDate="","SET REVIEW DATE ","")&amp;IF(T38&lt;&gt;"Pass","REPRESENTATIVE CAPABILITY NOT VERIFIED ","")&amp;IF(V38="","MISSING EVIDENCE ","")&amp;IF(AND(ISNUMBER(AH38),AH38&lt;ReviewDate),"EXPIRED EVIDENCE ","")&amp;IF(W38="","EVIDENCE DATE MISSING ","")&amp;IF(U38="","CLAIM WITHOUT REVIEWER ","")&amp;IF(S38="","CLAIM WITHOUT CRITERIA ","")&amp;IF(AND(AF38="Yes",AC38="Technical test only"),"READINESS NOT DEMONSTRATED ","")&amp;IF(AND(AG38="Yes",OR(AD38="",AE38="")),"BENEFIT CLAIM UNSUPPORTED ",""))</f>
        <v/>
      </c>
      <c r="H38" s="11" t="str">
        <f t="shared" si="1"/>
        <v/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9"/>
      <c r="X38" s="9"/>
      <c r="Y38" s="8"/>
      <c r="Z38" s="8"/>
      <c r="AA38" s="8"/>
      <c r="AB38" s="8"/>
      <c r="AC38" s="8"/>
      <c r="AD38" s="8"/>
      <c r="AE38" s="8"/>
      <c r="AF38" s="8"/>
      <c r="AG38" s="8"/>
      <c r="AH38" s="12" t="str">
        <f t="shared" si="2"/>
        <v/>
      </c>
    </row>
    <row r="39" spans="1:34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IF(A39="","",IF(COUNTIF('07 - EVIDENCE &amp; ASSURANCE'!$A$9:$A$58,A39)&gt;1,"DUPLICATE ID ","")&amp;IF(ReviewDate="","SET REVIEW DATE ","")&amp;IF(T39&lt;&gt;"Pass","REPRESENTATIVE CAPABILITY NOT VERIFIED ","")&amp;IF(V39="","MISSING EVIDENCE ","")&amp;IF(AND(ISNUMBER(AH39),AH39&lt;ReviewDate),"EXPIRED EVIDENCE ","")&amp;IF(W39="","EVIDENCE DATE MISSING ","")&amp;IF(U39="","CLAIM WITHOUT REVIEWER ","")&amp;IF(S39="","CLAIM WITHOUT CRITERIA ","")&amp;IF(AND(AF39="Yes",AC39="Technical test only"),"READINESS NOT DEMONSTRATED ","")&amp;IF(AND(AG39="Yes",OR(AD39="",AE39="")),"BENEFIT CLAIM UNSUPPORTED ",""))</f>
        <v/>
      </c>
      <c r="H39" s="11" t="str">
        <f t="shared" si="1"/>
        <v/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9"/>
      <c r="X39" s="9"/>
      <c r="Y39" s="8"/>
      <c r="Z39" s="8"/>
      <c r="AA39" s="8"/>
      <c r="AB39" s="8"/>
      <c r="AC39" s="8"/>
      <c r="AD39" s="8"/>
      <c r="AE39" s="8"/>
      <c r="AF39" s="8"/>
      <c r="AG39" s="8"/>
      <c r="AH39" s="12" t="str">
        <f t="shared" si="2"/>
        <v/>
      </c>
    </row>
    <row r="40" spans="1:34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IF(A40="","",IF(COUNTIF('07 - EVIDENCE &amp; ASSURANCE'!$A$9:$A$58,A40)&gt;1,"DUPLICATE ID ","")&amp;IF(ReviewDate="","SET REVIEW DATE ","")&amp;IF(T40&lt;&gt;"Pass","REPRESENTATIVE CAPABILITY NOT VERIFIED ","")&amp;IF(V40="","MISSING EVIDENCE ","")&amp;IF(AND(ISNUMBER(AH40),AH40&lt;ReviewDate),"EXPIRED EVIDENCE ","")&amp;IF(W40="","EVIDENCE DATE MISSING ","")&amp;IF(U40="","CLAIM WITHOUT REVIEWER ","")&amp;IF(S40="","CLAIM WITHOUT CRITERIA ","")&amp;IF(AND(AF40="Yes",AC40="Technical test only"),"READINESS NOT DEMONSTRATED ","")&amp;IF(AND(AG40="Yes",OR(AD40="",AE40="")),"BENEFIT CLAIM UNSUPPORTED ",""))</f>
        <v/>
      </c>
      <c r="H40" s="11" t="str">
        <f t="shared" si="1"/>
        <v/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9"/>
      <c r="X40" s="9"/>
      <c r="Y40" s="8"/>
      <c r="Z40" s="8"/>
      <c r="AA40" s="8"/>
      <c r="AB40" s="8"/>
      <c r="AC40" s="8"/>
      <c r="AD40" s="8"/>
      <c r="AE40" s="8"/>
      <c r="AF40" s="8"/>
      <c r="AG40" s="8"/>
      <c r="AH40" s="12" t="str">
        <f t="shared" si="2"/>
        <v/>
      </c>
    </row>
    <row r="41" spans="1:34" ht="60" customHeight="1">
      <c r="A41" s="8"/>
      <c r="B41" s="8"/>
      <c r="C41" s="8"/>
      <c r="D41" s="8"/>
      <c r="E41" s="9"/>
      <c r="F41" s="11" t="str">
        <f t="shared" ref="F41:F58" si="3">IF(A41="","",IF(AND(AB41="Yes",G41&lt;&gt;""),"Critical",IF(G41&lt;&gt;"","Review","Routine")))</f>
        <v/>
      </c>
      <c r="G41" s="20" t="str">
        <f>IF(A41="","",IF(COUNTIF('07 - EVIDENCE &amp; ASSURANCE'!$A$9:$A$58,A41)&gt;1,"DUPLICATE ID ","")&amp;IF(ReviewDate="","SET REVIEW DATE ","")&amp;IF(T41&lt;&gt;"Pass","REPRESENTATIVE CAPABILITY NOT VERIFIED ","")&amp;IF(V41="","MISSING EVIDENCE ","")&amp;IF(AND(ISNUMBER(AH41),AH41&lt;ReviewDate),"EXPIRED EVIDENCE ","")&amp;IF(W41="","EVIDENCE DATE MISSING ","")&amp;IF(U41="","CLAIM WITHOUT REVIEWER ","")&amp;IF(S41="","CLAIM WITHOUT CRITERIA ","")&amp;IF(AND(AF41="Yes",AC41="Technical test only"),"READINESS NOT DEMONSTRATED ","")&amp;IF(AND(AG41="Yes",OR(AD41="",AE41="")),"BENEFIT CLAIM UNSUPPORTED ",""))</f>
        <v/>
      </c>
      <c r="H41" s="11" t="str">
        <f t="shared" ref="H41:H58" si="4">IF(A41="","",IF(G41&lt;&gt;"","Commission targeted evidence before the commitment date.",""))</f>
        <v/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9"/>
      <c r="X41" s="9"/>
      <c r="Y41" s="8"/>
      <c r="Z41" s="8"/>
      <c r="AA41" s="8"/>
      <c r="AB41" s="8"/>
      <c r="AC41" s="8"/>
      <c r="AD41" s="8"/>
      <c r="AE41" s="8"/>
      <c r="AF41" s="8"/>
      <c r="AG41" s="8"/>
      <c r="AH41" s="12" t="str">
        <f t="shared" ref="AH41:AH58" si="5">IF(A41="","",IF(ISNUMBER(X41),X41,IF(ISNUMBER(W41),W41+FreshDays,"")))</f>
        <v/>
      </c>
    </row>
    <row r="42" spans="1:34" ht="60" customHeight="1">
      <c r="A42" s="8"/>
      <c r="B42" s="8"/>
      <c r="C42" s="8"/>
      <c r="D42" s="8"/>
      <c r="E42" s="9"/>
      <c r="F42" s="11" t="str">
        <f t="shared" si="3"/>
        <v/>
      </c>
      <c r="G42" s="20" t="str">
        <f>IF(A42="","",IF(COUNTIF('07 - EVIDENCE &amp; ASSURANCE'!$A$9:$A$58,A42)&gt;1,"DUPLICATE ID ","")&amp;IF(ReviewDate="","SET REVIEW DATE ","")&amp;IF(T42&lt;&gt;"Pass","REPRESENTATIVE CAPABILITY NOT VERIFIED ","")&amp;IF(V42="","MISSING EVIDENCE ","")&amp;IF(AND(ISNUMBER(AH42),AH42&lt;ReviewDate),"EXPIRED EVIDENCE ","")&amp;IF(W42="","EVIDENCE DATE MISSING ","")&amp;IF(U42="","CLAIM WITHOUT REVIEWER ","")&amp;IF(S42="","CLAIM WITHOUT CRITERIA ","")&amp;IF(AND(AF42="Yes",AC42="Technical test only"),"READINESS NOT DEMONSTRATED ","")&amp;IF(AND(AG42="Yes",OR(AD42="",AE42="")),"BENEFIT CLAIM UNSUPPORTED ",""))</f>
        <v/>
      </c>
      <c r="H42" s="11" t="str">
        <f t="shared" si="4"/>
        <v/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9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12" t="str">
        <f t="shared" si="5"/>
        <v/>
      </c>
    </row>
    <row r="43" spans="1:34" ht="60" customHeight="1">
      <c r="A43" s="8"/>
      <c r="B43" s="8"/>
      <c r="C43" s="8"/>
      <c r="D43" s="8"/>
      <c r="E43" s="9"/>
      <c r="F43" s="11" t="str">
        <f t="shared" si="3"/>
        <v/>
      </c>
      <c r="G43" s="20" t="str">
        <f>IF(A43="","",IF(COUNTIF('07 - EVIDENCE &amp; ASSURANCE'!$A$9:$A$58,A43)&gt;1,"DUPLICATE ID ","")&amp;IF(ReviewDate="","SET REVIEW DATE ","")&amp;IF(T43&lt;&gt;"Pass","REPRESENTATIVE CAPABILITY NOT VERIFIED ","")&amp;IF(V43="","MISSING EVIDENCE ","")&amp;IF(AND(ISNUMBER(AH43),AH43&lt;ReviewDate),"EXPIRED EVIDENCE ","")&amp;IF(W43="","EVIDENCE DATE MISSING ","")&amp;IF(U43="","CLAIM WITHOUT REVIEWER ","")&amp;IF(S43="","CLAIM WITHOUT CRITERIA ","")&amp;IF(AND(AF43="Yes",AC43="Technical test only"),"READINESS NOT DEMONSTRATED ","")&amp;IF(AND(AG43="Yes",OR(AD43="",AE43="")),"BENEFIT CLAIM UNSUPPORTED ",""))</f>
        <v/>
      </c>
      <c r="H43" s="11" t="str">
        <f t="shared" si="4"/>
        <v/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9"/>
      <c r="X43" s="9"/>
      <c r="Y43" s="8"/>
      <c r="Z43" s="8"/>
      <c r="AA43" s="8"/>
      <c r="AB43" s="8"/>
      <c r="AC43" s="8"/>
      <c r="AD43" s="8"/>
      <c r="AE43" s="8"/>
      <c r="AF43" s="8"/>
      <c r="AG43" s="8"/>
      <c r="AH43" s="12" t="str">
        <f t="shared" si="5"/>
        <v/>
      </c>
    </row>
    <row r="44" spans="1:34" ht="60" customHeight="1">
      <c r="A44" s="8"/>
      <c r="B44" s="8"/>
      <c r="C44" s="8"/>
      <c r="D44" s="8"/>
      <c r="E44" s="9"/>
      <c r="F44" s="11" t="str">
        <f t="shared" si="3"/>
        <v/>
      </c>
      <c r="G44" s="20" t="str">
        <f>IF(A44="","",IF(COUNTIF('07 - EVIDENCE &amp; ASSURANCE'!$A$9:$A$58,A44)&gt;1,"DUPLICATE ID ","")&amp;IF(ReviewDate="","SET REVIEW DATE ","")&amp;IF(T44&lt;&gt;"Pass","REPRESENTATIVE CAPABILITY NOT VERIFIED ","")&amp;IF(V44="","MISSING EVIDENCE ","")&amp;IF(AND(ISNUMBER(AH44),AH44&lt;ReviewDate),"EXPIRED EVIDENCE ","")&amp;IF(W44="","EVIDENCE DATE MISSING ","")&amp;IF(U44="","CLAIM WITHOUT REVIEWER ","")&amp;IF(S44="","CLAIM WITHOUT CRITERIA ","")&amp;IF(AND(AF44="Yes",AC44="Technical test only"),"READINESS NOT DEMONSTRATED ","")&amp;IF(AND(AG44="Yes",OR(AD44="",AE44="")),"BENEFIT CLAIM UNSUPPORTED ",""))</f>
        <v/>
      </c>
      <c r="H44" s="11" t="str">
        <f t="shared" si="4"/>
        <v/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9"/>
      <c r="X44" s="9"/>
      <c r="Y44" s="8"/>
      <c r="Z44" s="8"/>
      <c r="AA44" s="8"/>
      <c r="AB44" s="8"/>
      <c r="AC44" s="8"/>
      <c r="AD44" s="8"/>
      <c r="AE44" s="8"/>
      <c r="AF44" s="8"/>
      <c r="AG44" s="8"/>
      <c r="AH44" s="12" t="str">
        <f t="shared" si="5"/>
        <v/>
      </c>
    </row>
    <row r="45" spans="1:34" ht="60" customHeight="1">
      <c r="A45" s="8"/>
      <c r="B45" s="8"/>
      <c r="C45" s="8"/>
      <c r="D45" s="8"/>
      <c r="E45" s="9"/>
      <c r="F45" s="11" t="str">
        <f t="shared" si="3"/>
        <v/>
      </c>
      <c r="G45" s="20" t="str">
        <f>IF(A45="","",IF(COUNTIF('07 - EVIDENCE &amp; ASSURANCE'!$A$9:$A$58,A45)&gt;1,"DUPLICATE ID ","")&amp;IF(ReviewDate="","SET REVIEW DATE ","")&amp;IF(T45&lt;&gt;"Pass","REPRESENTATIVE CAPABILITY NOT VERIFIED ","")&amp;IF(V45="","MISSING EVIDENCE ","")&amp;IF(AND(ISNUMBER(AH45),AH45&lt;ReviewDate),"EXPIRED EVIDENCE ","")&amp;IF(W45="","EVIDENCE DATE MISSING ","")&amp;IF(U45="","CLAIM WITHOUT REVIEWER ","")&amp;IF(S45="","CLAIM WITHOUT CRITERIA ","")&amp;IF(AND(AF45="Yes",AC45="Technical test only"),"READINESS NOT DEMONSTRATED ","")&amp;IF(AND(AG45="Yes",OR(AD45="",AE45="")),"BENEFIT CLAIM UNSUPPORTED ",""))</f>
        <v/>
      </c>
      <c r="H45" s="11" t="str">
        <f t="shared" si="4"/>
        <v/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9"/>
      <c r="X45" s="9"/>
      <c r="Y45" s="8"/>
      <c r="Z45" s="8"/>
      <c r="AA45" s="8"/>
      <c r="AB45" s="8"/>
      <c r="AC45" s="8"/>
      <c r="AD45" s="8"/>
      <c r="AE45" s="8"/>
      <c r="AF45" s="8"/>
      <c r="AG45" s="8"/>
      <c r="AH45" s="12" t="str">
        <f t="shared" si="5"/>
        <v/>
      </c>
    </row>
    <row r="46" spans="1:34" ht="60" customHeight="1">
      <c r="A46" s="8"/>
      <c r="B46" s="8"/>
      <c r="C46" s="8"/>
      <c r="D46" s="8"/>
      <c r="E46" s="9"/>
      <c r="F46" s="11" t="str">
        <f t="shared" si="3"/>
        <v/>
      </c>
      <c r="G46" s="20" t="str">
        <f>IF(A46="","",IF(COUNTIF('07 - EVIDENCE &amp; ASSURANCE'!$A$9:$A$58,A46)&gt;1,"DUPLICATE ID ","")&amp;IF(ReviewDate="","SET REVIEW DATE ","")&amp;IF(T46&lt;&gt;"Pass","REPRESENTATIVE CAPABILITY NOT VERIFIED ","")&amp;IF(V46="","MISSING EVIDENCE ","")&amp;IF(AND(ISNUMBER(AH46),AH46&lt;ReviewDate),"EXPIRED EVIDENCE ","")&amp;IF(W46="","EVIDENCE DATE MISSING ","")&amp;IF(U46="","CLAIM WITHOUT REVIEWER ","")&amp;IF(S46="","CLAIM WITHOUT CRITERIA ","")&amp;IF(AND(AF46="Yes",AC46="Technical test only"),"READINESS NOT DEMONSTRATED ","")&amp;IF(AND(AG46="Yes",OR(AD46="",AE46="")),"BENEFIT CLAIM UNSUPPORTED ",""))</f>
        <v/>
      </c>
      <c r="H46" s="11" t="str">
        <f t="shared" si="4"/>
        <v/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9"/>
      <c r="X46" s="9"/>
      <c r="Y46" s="8"/>
      <c r="Z46" s="8"/>
      <c r="AA46" s="8"/>
      <c r="AB46" s="8"/>
      <c r="AC46" s="8"/>
      <c r="AD46" s="8"/>
      <c r="AE46" s="8"/>
      <c r="AF46" s="8"/>
      <c r="AG46" s="8"/>
      <c r="AH46" s="12" t="str">
        <f t="shared" si="5"/>
        <v/>
      </c>
    </row>
    <row r="47" spans="1:34" ht="60" customHeight="1">
      <c r="A47" s="8"/>
      <c r="B47" s="8"/>
      <c r="C47" s="8"/>
      <c r="D47" s="8"/>
      <c r="E47" s="9"/>
      <c r="F47" s="11" t="str">
        <f t="shared" si="3"/>
        <v/>
      </c>
      <c r="G47" s="20" t="str">
        <f>IF(A47="","",IF(COUNTIF('07 - EVIDENCE &amp; ASSURANCE'!$A$9:$A$58,A47)&gt;1,"DUPLICATE ID ","")&amp;IF(ReviewDate="","SET REVIEW DATE ","")&amp;IF(T47&lt;&gt;"Pass","REPRESENTATIVE CAPABILITY NOT VERIFIED ","")&amp;IF(V47="","MISSING EVIDENCE ","")&amp;IF(AND(ISNUMBER(AH47),AH47&lt;ReviewDate),"EXPIRED EVIDENCE ","")&amp;IF(W47="","EVIDENCE DATE MISSING ","")&amp;IF(U47="","CLAIM WITHOUT REVIEWER ","")&amp;IF(S47="","CLAIM WITHOUT CRITERIA ","")&amp;IF(AND(AF47="Yes",AC47="Technical test only"),"READINESS NOT DEMONSTRATED ","")&amp;IF(AND(AG47="Yes",OR(AD47="",AE47="")),"BENEFIT CLAIM UNSUPPORTED ",""))</f>
        <v/>
      </c>
      <c r="H47" s="11" t="str">
        <f t="shared" si="4"/>
        <v/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9"/>
      <c r="X47" s="9"/>
      <c r="Y47" s="8"/>
      <c r="Z47" s="8"/>
      <c r="AA47" s="8"/>
      <c r="AB47" s="8"/>
      <c r="AC47" s="8"/>
      <c r="AD47" s="8"/>
      <c r="AE47" s="8"/>
      <c r="AF47" s="8"/>
      <c r="AG47" s="8"/>
      <c r="AH47" s="12" t="str">
        <f t="shared" si="5"/>
        <v/>
      </c>
    </row>
    <row r="48" spans="1:34" ht="60" customHeight="1">
      <c r="A48" s="8"/>
      <c r="B48" s="8"/>
      <c r="C48" s="8"/>
      <c r="D48" s="8"/>
      <c r="E48" s="9"/>
      <c r="F48" s="11" t="str">
        <f t="shared" si="3"/>
        <v/>
      </c>
      <c r="G48" s="20" t="str">
        <f>IF(A48="","",IF(COUNTIF('07 - EVIDENCE &amp; ASSURANCE'!$A$9:$A$58,A48)&gt;1,"DUPLICATE ID ","")&amp;IF(ReviewDate="","SET REVIEW DATE ","")&amp;IF(T48&lt;&gt;"Pass","REPRESENTATIVE CAPABILITY NOT VERIFIED ","")&amp;IF(V48="","MISSING EVIDENCE ","")&amp;IF(AND(ISNUMBER(AH48),AH48&lt;ReviewDate),"EXPIRED EVIDENCE ","")&amp;IF(W48="","EVIDENCE DATE MISSING ","")&amp;IF(U48="","CLAIM WITHOUT REVIEWER ","")&amp;IF(S48="","CLAIM WITHOUT CRITERIA ","")&amp;IF(AND(AF48="Yes",AC48="Technical test only"),"READINESS NOT DEMONSTRATED ","")&amp;IF(AND(AG48="Yes",OR(AD48="",AE48="")),"BENEFIT CLAIM UNSUPPORTED ",""))</f>
        <v/>
      </c>
      <c r="H48" s="11" t="str">
        <f t="shared" si="4"/>
        <v/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9"/>
      <c r="X48" s="9"/>
      <c r="Y48" s="8"/>
      <c r="Z48" s="8"/>
      <c r="AA48" s="8"/>
      <c r="AB48" s="8"/>
      <c r="AC48" s="8"/>
      <c r="AD48" s="8"/>
      <c r="AE48" s="8"/>
      <c r="AF48" s="8"/>
      <c r="AG48" s="8"/>
      <c r="AH48" s="12" t="str">
        <f t="shared" si="5"/>
        <v/>
      </c>
    </row>
    <row r="49" spans="1:34" ht="60" customHeight="1">
      <c r="A49" s="8"/>
      <c r="B49" s="8"/>
      <c r="C49" s="8"/>
      <c r="D49" s="8"/>
      <c r="E49" s="9"/>
      <c r="F49" s="11" t="str">
        <f t="shared" si="3"/>
        <v/>
      </c>
      <c r="G49" s="20" t="str">
        <f>IF(A49="","",IF(COUNTIF('07 - EVIDENCE &amp; ASSURANCE'!$A$9:$A$58,A49)&gt;1,"DUPLICATE ID ","")&amp;IF(ReviewDate="","SET REVIEW DATE ","")&amp;IF(T49&lt;&gt;"Pass","REPRESENTATIVE CAPABILITY NOT VERIFIED ","")&amp;IF(V49="","MISSING EVIDENCE ","")&amp;IF(AND(ISNUMBER(AH49),AH49&lt;ReviewDate),"EXPIRED EVIDENCE ","")&amp;IF(W49="","EVIDENCE DATE MISSING ","")&amp;IF(U49="","CLAIM WITHOUT REVIEWER ","")&amp;IF(S49="","CLAIM WITHOUT CRITERIA ","")&amp;IF(AND(AF49="Yes",AC49="Technical test only"),"READINESS NOT DEMONSTRATED ","")&amp;IF(AND(AG49="Yes",OR(AD49="",AE49="")),"BENEFIT CLAIM UNSUPPORTED ",""))</f>
        <v/>
      </c>
      <c r="H49" s="11" t="str">
        <f t="shared" si="4"/>
        <v/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9"/>
      <c r="X49" s="9"/>
      <c r="Y49" s="8"/>
      <c r="Z49" s="8"/>
      <c r="AA49" s="8"/>
      <c r="AB49" s="8"/>
      <c r="AC49" s="8"/>
      <c r="AD49" s="8"/>
      <c r="AE49" s="8"/>
      <c r="AF49" s="8"/>
      <c r="AG49" s="8"/>
      <c r="AH49" s="12" t="str">
        <f t="shared" si="5"/>
        <v/>
      </c>
    </row>
    <row r="50" spans="1:34" ht="60" customHeight="1">
      <c r="A50" s="8"/>
      <c r="B50" s="8"/>
      <c r="C50" s="8"/>
      <c r="D50" s="8"/>
      <c r="E50" s="9"/>
      <c r="F50" s="11" t="str">
        <f t="shared" si="3"/>
        <v/>
      </c>
      <c r="G50" s="20" t="str">
        <f>IF(A50="","",IF(COUNTIF('07 - EVIDENCE &amp; ASSURANCE'!$A$9:$A$58,A50)&gt;1,"DUPLICATE ID ","")&amp;IF(ReviewDate="","SET REVIEW DATE ","")&amp;IF(T50&lt;&gt;"Pass","REPRESENTATIVE CAPABILITY NOT VERIFIED ","")&amp;IF(V50="","MISSING EVIDENCE ","")&amp;IF(AND(ISNUMBER(AH50),AH50&lt;ReviewDate),"EXPIRED EVIDENCE ","")&amp;IF(W50="","EVIDENCE DATE MISSING ","")&amp;IF(U50="","CLAIM WITHOUT REVIEWER ","")&amp;IF(S50="","CLAIM WITHOUT CRITERIA ","")&amp;IF(AND(AF50="Yes",AC50="Technical test only"),"READINESS NOT DEMONSTRATED ","")&amp;IF(AND(AG50="Yes",OR(AD50="",AE50="")),"BENEFIT CLAIM UNSUPPORTED ",""))</f>
        <v/>
      </c>
      <c r="H50" s="11" t="str">
        <f t="shared" si="4"/>
        <v/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9"/>
      <c r="X50" s="9"/>
      <c r="Y50" s="8"/>
      <c r="Z50" s="8"/>
      <c r="AA50" s="8"/>
      <c r="AB50" s="8"/>
      <c r="AC50" s="8"/>
      <c r="AD50" s="8"/>
      <c r="AE50" s="8"/>
      <c r="AF50" s="8"/>
      <c r="AG50" s="8"/>
      <c r="AH50" s="12" t="str">
        <f t="shared" si="5"/>
        <v/>
      </c>
    </row>
    <row r="51" spans="1:34" ht="60" customHeight="1">
      <c r="A51" s="8"/>
      <c r="B51" s="8"/>
      <c r="C51" s="8"/>
      <c r="D51" s="8"/>
      <c r="E51" s="9"/>
      <c r="F51" s="11" t="str">
        <f t="shared" si="3"/>
        <v/>
      </c>
      <c r="G51" s="20" t="str">
        <f>IF(A51="","",IF(COUNTIF('07 - EVIDENCE &amp; ASSURANCE'!$A$9:$A$58,A51)&gt;1,"DUPLICATE ID ","")&amp;IF(ReviewDate="","SET REVIEW DATE ","")&amp;IF(T51&lt;&gt;"Pass","REPRESENTATIVE CAPABILITY NOT VERIFIED ","")&amp;IF(V51="","MISSING EVIDENCE ","")&amp;IF(AND(ISNUMBER(AH51),AH51&lt;ReviewDate),"EXPIRED EVIDENCE ","")&amp;IF(W51="","EVIDENCE DATE MISSING ","")&amp;IF(U51="","CLAIM WITHOUT REVIEWER ","")&amp;IF(S51="","CLAIM WITHOUT CRITERIA ","")&amp;IF(AND(AF51="Yes",AC51="Technical test only"),"READINESS NOT DEMONSTRATED ","")&amp;IF(AND(AG51="Yes",OR(AD51="",AE51="")),"BENEFIT CLAIM UNSUPPORTED ",""))</f>
        <v/>
      </c>
      <c r="H51" s="11" t="str">
        <f t="shared" si="4"/>
        <v/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9"/>
      <c r="X51" s="9"/>
      <c r="Y51" s="8"/>
      <c r="Z51" s="8"/>
      <c r="AA51" s="8"/>
      <c r="AB51" s="8"/>
      <c r="AC51" s="8"/>
      <c r="AD51" s="8"/>
      <c r="AE51" s="8"/>
      <c r="AF51" s="8"/>
      <c r="AG51" s="8"/>
      <c r="AH51" s="12" t="str">
        <f t="shared" si="5"/>
        <v/>
      </c>
    </row>
    <row r="52" spans="1:34" ht="60" customHeight="1">
      <c r="A52" s="8"/>
      <c r="B52" s="8"/>
      <c r="C52" s="8"/>
      <c r="D52" s="8"/>
      <c r="E52" s="9"/>
      <c r="F52" s="11" t="str">
        <f t="shared" si="3"/>
        <v/>
      </c>
      <c r="G52" s="20" t="str">
        <f>IF(A52="","",IF(COUNTIF('07 - EVIDENCE &amp; ASSURANCE'!$A$9:$A$58,A52)&gt;1,"DUPLICATE ID ","")&amp;IF(ReviewDate="","SET REVIEW DATE ","")&amp;IF(T52&lt;&gt;"Pass","REPRESENTATIVE CAPABILITY NOT VERIFIED ","")&amp;IF(V52="","MISSING EVIDENCE ","")&amp;IF(AND(ISNUMBER(AH52),AH52&lt;ReviewDate),"EXPIRED EVIDENCE ","")&amp;IF(W52="","EVIDENCE DATE MISSING ","")&amp;IF(U52="","CLAIM WITHOUT REVIEWER ","")&amp;IF(S52="","CLAIM WITHOUT CRITERIA ","")&amp;IF(AND(AF52="Yes",AC52="Technical test only"),"READINESS NOT DEMONSTRATED ","")&amp;IF(AND(AG52="Yes",OR(AD52="",AE52="")),"BENEFIT CLAIM UNSUPPORTED ",""))</f>
        <v/>
      </c>
      <c r="H52" s="11" t="str">
        <f t="shared" si="4"/>
        <v/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9"/>
      <c r="X52" s="9"/>
      <c r="Y52" s="8"/>
      <c r="Z52" s="8"/>
      <c r="AA52" s="8"/>
      <c r="AB52" s="8"/>
      <c r="AC52" s="8"/>
      <c r="AD52" s="8"/>
      <c r="AE52" s="8"/>
      <c r="AF52" s="8"/>
      <c r="AG52" s="8"/>
      <c r="AH52" s="12" t="str">
        <f t="shared" si="5"/>
        <v/>
      </c>
    </row>
    <row r="53" spans="1:34" ht="60" customHeight="1">
      <c r="A53" s="8"/>
      <c r="B53" s="8"/>
      <c r="C53" s="8"/>
      <c r="D53" s="8"/>
      <c r="E53" s="9"/>
      <c r="F53" s="11" t="str">
        <f t="shared" si="3"/>
        <v/>
      </c>
      <c r="G53" s="20" t="str">
        <f>IF(A53="","",IF(COUNTIF('07 - EVIDENCE &amp; ASSURANCE'!$A$9:$A$58,A53)&gt;1,"DUPLICATE ID ","")&amp;IF(ReviewDate="","SET REVIEW DATE ","")&amp;IF(T53&lt;&gt;"Pass","REPRESENTATIVE CAPABILITY NOT VERIFIED ","")&amp;IF(V53="","MISSING EVIDENCE ","")&amp;IF(AND(ISNUMBER(AH53),AH53&lt;ReviewDate),"EXPIRED EVIDENCE ","")&amp;IF(W53="","EVIDENCE DATE MISSING ","")&amp;IF(U53="","CLAIM WITHOUT REVIEWER ","")&amp;IF(S53="","CLAIM WITHOUT CRITERIA ","")&amp;IF(AND(AF53="Yes",AC53="Technical test only"),"READINESS NOT DEMONSTRATED ","")&amp;IF(AND(AG53="Yes",OR(AD53="",AE53="")),"BENEFIT CLAIM UNSUPPORTED ",""))</f>
        <v/>
      </c>
      <c r="H53" s="11" t="str">
        <f t="shared" si="4"/>
        <v/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9"/>
      <c r="X53" s="9"/>
      <c r="Y53" s="8"/>
      <c r="Z53" s="8"/>
      <c r="AA53" s="8"/>
      <c r="AB53" s="8"/>
      <c r="AC53" s="8"/>
      <c r="AD53" s="8"/>
      <c r="AE53" s="8"/>
      <c r="AF53" s="8"/>
      <c r="AG53" s="8"/>
      <c r="AH53" s="12" t="str">
        <f t="shared" si="5"/>
        <v/>
      </c>
    </row>
    <row r="54" spans="1:34" ht="60" customHeight="1">
      <c r="A54" s="8"/>
      <c r="B54" s="8"/>
      <c r="C54" s="8"/>
      <c r="D54" s="8"/>
      <c r="E54" s="9"/>
      <c r="F54" s="11" t="str">
        <f t="shared" si="3"/>
        <v/>
      </c>
      <c r="G54" s="20" t="str">
        <f>IF(A54="","",IF(COUNTIF('07 - EVIDENCE &amp; ASSURANCE'!$A$9:$A$58,A54)&gt;1,"DUPLICATE ID ","")&amp;IF(ReviewDate="","SET REVIEW DATE ","")&amp;IF(T54&lt;&gt;"Pass","REPRESENTATIVE CAPABILITY NOT VERIFIED ","")&amp;IF(V54="","MISSING EVIDENCE ","")&amp;IF(AND(ISNUMBER(AH54),AH54&lt;ReviewDate),"EXPIRED EVIDENCE ","")&amp;IF(W54="","EVIDENCE DATE MISSING ","")&amp;IF(U54="","CLAIM WITHOUT REVIEWER ","")&amp;IF(S54="","CLAIM WITHOUT CRITERIA ","")&amp;IF(AND(AF54="Yes",AC54="Technical test only"),"READINESS NOT DEMONSTRATED ","")&amp;IF(AND(AG54="Yes",OR(AD54="",AE54="")),"BENEFIT CLAIM UNSUPPORTED ",""))</f>
        <v/>
      </c>
      <c r="H54" s="11" t="str">
        <f t="shared" si="4"/>
        <v/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9"/>
      <c r="X54" s="9"/>
      <c r="Y54" s="8"/>
      <c r="Z54" s="8"/>
      <c r="AA54" s="8"/>
      <c r="AB54" s="8"/>
      <c r="AC54" s="8"/>
      <c r="AD54" s="8"/>
      <c r="AE54" s="8"/>
      <c r="AF54" s="8"/>
      <c r="AG54" s="8"/>
      <c r="AH54" s="12" t="str">
        <f t="shared" si="5"/>
        <v/>
      </c>
    </row>
    <row r="55" spans="1:34" ht="60" customHeight="1">
      <c r="A55" s="8"/>
      <c r="B55" s="8"/>
      <c r="C55" s="8"/>
      <c r="D55" s="8"/>
      <c r="E55" s="9"/>
      <c r="F55" s="11" t="str">
        <f t="shared" si="3"/>
        <v/>
      </c>
      <c r="G55" s="20" t="str">
        <f>IF(A55="","",IF(COUNTIF('07 - EVIDENCE &amp; ASSURANCE'!$A$9:$A$58,A55)&gt;1,"DUPLICATE ID ","")&amp;IF(ReviewDate="","SET REVIEW DATE ","")&amp;IF(T55&lt;&gt;"Pass","REPRESENTATIVE CAPABILITY NOT VERIFIED ","")&amp;IF(V55="","MISSING EVIDENCE ","")&amp;IF(AND(ISNUMBER(AH55),AH55&lt;ReviewDate),"EXPIRED EVIDENCE ","")&amp;IF(W55="","EVIDENCE DATE MISSING ","")&amp;IF(U55="","CLAIM WITHOUT REVIEWER ","")&amp;IF(S55="","CLAIM WITHOUT CRITERIA ","")&amp;IF(AND(AF55="Yes",AC55="Technical test only"),"READINESS NOT DEMONSTRATED ","")&amp;IF(AND(AG55="Yes",OR(AD55="",AE55="")),"BENEFIT CLAIM UNSUPPORTED ",""))</f>
        <v/>
      </c>
      <c r="H55" s="11" t="str">
        <f t="shared" si="4"/>
        <v/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9"/>
      <c r="X55" s="9"/>
      <c r="Y55" s="8"/>
      <c r="Z55" s="8"/>
      <c r="AA55" s="8"/>
      <c r="AB55" s="8"/>
      <c r="AC55" s="8"/>
      <c r="AD55" s="8"/>
      <c r="AE55" s="8"/>
      <c r="AF55" s="8"/>
      <c r="AG55" s="8"/>
      <c r="AH55" s="12" t="str">
        <f t="shared" si="5"/>
        <v/>
      </c>
    </row>
    <row r="56" spans="1:34" ht="60" customHeight="1">
      <c r="A56" s="8"/>
      <c r="B56" s="8"/>
      <c r="C56" s="8"/>
      <c r="D56" s="8"/>
      <c r="E56" s="9"/>
      <c r="F56" s="11" t="str">
        <f t="shared" si="3"/>
        <v/>
      </c>
      <c r="G56" s="20" t="str">
        <f>IF(A56="","",IF(COUNTIF('07 - EVIDENCE &amp; ASSURANCE'!$A$9:$A$58,A56)&gt;1,"DUPLICATE ID ","")&amp;IF(ReviewDate="","SET REVIEW DATE ","")&amp;IF(T56&lt;&gt;"Pass","REPRESENTATIVE CAPABILITY NOT VERIFIED ","")&amp;IF(V56="","MISSING EVIDENCE ","")&amp;IF(AND(ISNUMBER(AH56),AH56&lt;ReviewDate),"EXPIRED EVIDENCE ","")&amp;IF(W56="","EVIDENCE DATE MISSING ","")&amp;IF(U56="","CLAIM WITHOUT REVIEWER ","")&amp;IF(S56="","CLAIM WITHOUT CRITERIA ","")&amp;IF(AND(AF56="Yes",AC56="Technical test only"),"READINESS NOT DEMONSTRATED ","")&amp;IF(AND(AG56="Yes",OR(AD56="",AE56="")),"BENEFIT CLAIM UNSUPPORTED ",""))</f>
        <v/>
      </c>
      <c r="H56" s="11" t="str">
        <f t="shared" si="4"/>
        <v/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9"/>
      <c r="X56" s="9"/>
      <c r="Y56" s="8"/>
      <c r="Z56" s="8"/>
      <c r="AA56" s="8"/>
      <c r="AB56" s="8"/>
      <c r="AC56" s="8"/>
      <c r="AD56" s="8"/>
      <c r="AE56" s="8"/>
      <c r="AF56" s="8"/>
      <c r="AG56" s="8"/>
      <c r="AH56" s="12" t="str">
        <f t="shared" si="5"/>
        <v/>
      </c>
    </row>
    <row r="57" spans="1:34" ht="60" customHeight="1">
      <c r="A57" s="8"/>
      <c r="B57" s="8"/>
      <c r="C57" s="8"/>
      <c r="D57" s="8"/>
      <c r="E57" s="9"/>
      <c r="F57" s="11" t="str">
        <f t="shared" si="3"/>
        <v/>
      </c>
      <c r="G57" s="20" t="str">
        <f>IF(A57="","",IF(COUNTIF('07 - EVIDENCE &amp; ASSURANCE'!$A$9:$A$58,A57)&gt;1,"DUPLICATE ID ","")&amp;IF(ReviewDate="","SET REVIEW DATE ","")&amp;IF(T57&lt;&gt;"Pass","REPRESENTATIVE CAPABILITY NOT VERIFIED ","")&amp;IF(V57="","MISSING EVIDENCE ","")&amp;IF(AND(ISNUMBER(AH57),AH57&lt;ReviewDate),"EXPIRED EVIDENCE ","")&amp;IF(W57="","EVIDENCE DATE MISSING ","")&amp;IF(U57="","CLAIM WITHOUT REVIEWER ","")&amp;IF(S57="","CLAIM WITHOUT CRITERIA ","")&amp;IF(AND(AF57="Yes",AC57="Technical test only"),"READINESS NOT DEMONSTRATED ","")&amp;IF(AND(AG57="Yes",OR(AD57="",AE57="")),"BENEFIT CLAIM UNSUPPORTED ",""))</f>
        <v/>
      </c>
      <c r="H57" s="11" t="str">
        <f t="shared" si="4"/>
        <v/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9"/>
      <c r="X57" s="9"/>
      <c r="Y57" s="8"/>
      <c r="Z57" s="8"/>
      <c r="AA57" s="8"/>
      <c r="AB57" s="8"/>
      <c r="AC57" s="8"/>
      <c r="AD57" s="8"/>
      <c r="AE57" s="8"/>
      <c r="AF57" s="8"/>
      <c r="AG57" s="8"/>
      <c r="AH57" s="12" t="str">
        <f t="shared" si="5"/>
        <v/>
      </c>
    </row>
    <row r="58" spans="1:34" ht="60" customHeight="1">
      <c r="A58" s="8"/>
      <c r="B58" s="8"/>
      <c r="C58" s="8"/>
      <c r="D58" s="8"/>
      <c r="E58" s="9"/>
      <c r="F58" s="11" t="str">
        <f t="shared" si="3"/>
        <v/>
      </c>
      <c r="G58" s="20" t="str">
        <f>IF(A58="","",IF(COUNTIF('07 - EVIDENCE &amp; ASSURANCE'!$A$9:$A$58,A58)&gt;1,"DUPLICATE ID ","")&amp;IF(ReviewDate="","SET REVIEW DATE ","")&amp;IF(T58&lt;&gt;"Pass","REPRESENTATIVE CAPABILITY NOT VERIFIED ","")&amp;IF(V58="","MISSING EVIDENCE ","")&amp;IF(AND(ISNUMBER(AH58),AH58&lt;ReviewDate),"EXPIRED EVIDENCE ","")&amp;IF(W58="","EVIDENCE DATE MISSING ","")&amp;IF(U58="","CLAIM WITHOUT REVIEWER ","")&amp;IF(S58="","CLAIM WITHOUT CRITERIA ","")&amp;IF(AND(AF58="Yes",AC58="Technical test only"),"READINESS NOT DEMONSTRATED ","")&amp;IF(AND(AG58="Yes",OR(AD58="",AE58="")),"BENEFIT CLAIM UNSUPPORTED ",""))</f>
        <v/>
      </c>
      <c r="H58" s="11" t="str">
        <f t="shared" si="4"/>
        <v/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9"/>
      <c r="X58" s="9"/>
      <c r="Y58" s="8"/>
      <c r="Z58" s="8"/>
      <c r="AA58" s="8"/>
      <c r="AB58" s="8"/>
      <c r="AC58" s="8"/>
      <c r="AD58" s="8"/>
      <c r="AE58" s="8"/>
      <c r="AF58" s="8"/>
      <c r="AG58" s="8"/>
      <c r="AH58" s="12" t="str">
        <f t="shared" si="5"/>
        <v/>
      </c>
    </row>
    <row r="59" spans="1:34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</sheetData>
  <mergeCells count="1">
    <mergeCell ref="A4:J4"/>
  </mergeCells>
  <conditionalFormatting sqref="F9:F58">
    <cfRule type="containsText" dxfId="9" priority="2" operator="containsText" text="Critical"/>
  </conditionalFormatting>
  <conditionalFormatting sqref="G9:G58">
    <cfRule type="containsText" dxfId="8" priority="1" operator="containsText" text="MISSING"/>
  </conditionalFormatting>
  <dataValidations count="4">
    <dataValidation type="list" sqref="C9:C58" xr:uid="{00000000-0002-0000-0700-000000000000}">
      <formula1>WorkStatus</formula1>
    </dataValidation>
    <dataValidation type="list" sqref="AB9:AB58 AF9:AG58" xr:uid="{00000000-0002-0000-0700-000001000000}">
      <formula1>YesNo</formula1>
    </dataValidation>
    <dataValidation type="list" sqref="AC9:AC58" xr:uid="{00000000-0002-0000-0700-000004000000}">
      <formula1>EvidenceBasis</formula1>
    </dataValidation>
    <dataValidation type="list" sqref="K9:K58" xr:uid="{00000000-0002-0000-0700-000005000000}">
      <formula1>DecisionIDs</formula1>
    </dataValidation>
  </dataValidations>
  <hyperlinks>
    <hyperlink ref="A6" location="'00 - START HERE'!A1" display="Start here" xr:uid="{00000000-0004-0000-07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87C78"/>
  </sheetPr>
  <dimension ref="A1:X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16" width="20" customWidth="1"/>
    <col min="17" max="18" width="32" customWidth="1"/>
    <col min="19" max="20" width="20" customWidth="1"/>
    <col min="21" max="21" width="32" customWidth="1"/>
    <col min="22" max="24" width="20" customWidth="1"/>
  </cols>
  <sheetData>
    <row r="1" spans="1:24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.1" customHeight="1">
      <c r="A2" s="2" t="s">
        <v>352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3.950000000000003" customHeight="1">
      <c r="A4" s="21" t="s">
        <v>353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2.1" customHeight="1">
      <c r="A6" s="4" t="s">
        <v>2</v>
      </c>
      <c r="B6" s="1"/>
      <c r="C6" s="21" t="str">
        <f>"Passed: "&amp;COUNTIF('08 - READINESS'!$C$9:$C$58,"Pass")&amp;". Gaps: "&amp;COUNTIF('08 - READINESS'!$C$9:$C$58,"Gap")&amp;". Unknown: "&amp;COUNTIF('08 - READINESS'!$C$9:$C$58,"Unknown")&amp;". Active release blockers: "&amp;COUNTIF('08 - READINESS'!$V$9:$V$58,"Yes")</f>
        <v>Passed: 3. Gaps: 1. Unknown: 8. Active release blockers: 4</v>
      </c>
      <c r="D6" s="21"/>
      <c r="E6" s="21"/>
      <c r="F6" s="21"/>
      <c r="G6" s="21"/>
      <c r="H6" s="21"/>
      <c r="I6" s="21"/>
      <c r="J6" s="21"/>
      <c r="K6" s="1" t="str">
        <f>"Rows missing an ID: "&amp;SUMPRODUCT(--('08 - READINESS'!$A$9:$A$58=""),--('08 - READINESS'!$B$9:$B$58&lt;&gt;""))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3.950000000000003" customHeight="1">
      <c r="A8" s="5" t="s">
        <v>131</v>
      </c>
      <c r="B8" s="5" t="s">
        <v>354</v>
      </c>
      <c r="C8" s="5" t="s">
        <v>355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356</v>
      </c>
      <c r="J8" s="5" t="s">
        <v>357</v>
      </c>
      <c r="K8" s="5" t="s">
        <v>320</v>
      </c>
      <c r="L8" s="5" t="s">
        <v>244</v>
      </c>
      <c r="M8" s="5" t="s">
        <v>358</v>
      </c>
      <c r="N8" s="5" t="s">
        <v>359</v>
      </c>
      <c r="O8" s="5" t="s">
        <v>360</v>
      </c>
      <c r="P8" s="5" t="s">
        <v>361</v>
      </c>
      <c r="Q8" s="5" t="s">
        <v>323</v>
      </c>
      <c r="R8" s="5" t="s">
        <v>362</v>
      </c>
      <c r="S8" s="5" t="s">
        <v>211</v>
      </c>
      <c r="T8" s="5" t="s">
        <v>363</v>
      </c>
      <c r="U8" s="5" t="s">
        <v>364</v>
      </c>
      <c r="V8" s="5" t="s">
        <v>365</v>
      </c>
      <c r="W8" s="5" t="s">
        <v>366</v>
      </c>
      <c r="X8" s="5" t="s">
        <v>221</v>
      </c>
    </row>
    <row r="9" spans="1:24" ht="26.45" customHeight="1">
      <c r="A9" s="8" t="s">
        <v>367</v>
      </c>
      <c r="B9" s="8" t="s">
        <v>368</v>
      </c>
      <c r="C9" s="8" t="s">
        <v>369</v>
      </c>
      <c r="D9" s="8" t="s">
        <v>64</v>
      </c>
      <c r="E9" s="9">
        <v>46293</v>
      </c>
      <c r="F9" s="11" t="str">
        <f t="shared" ref="F9:F40" si="0">IF(A9="","",IF(V9="Yes","Critical",IF(G9&lt;&gt;"","Review","Routine")))</f>
        <v>Routine</v>
      </c>
      <c r="G9" s="20" t="str">
        <f>IF(A9="","",IF(COUNTIF('08 - READINESS'!$A$9:$A$58,A9)&gt;1,"DUPLICATE ID ","")&amp;IF(ReviewDate="","SET REVIEW DATE ","")&amp;IF(V9="Yes","RELEASE BLOCKER ","")&amp;IF(OR(C9="Unknown",C9=""),"READINESS UNKNOWN ","")&amp;IF(AND(C9="Pass",OR(J9="",Q9="")),"PASS WITHOUT DATED EVIDENCE ","")&amp;IF(AND(C9="Not applicable",U9=""),"NA REASON MISSING ","")&amp;IF(W9="Expired acceptance","EXPIRED EXCEPTION ","")&amp;IF(AND(ISNUMBER(Q9),IF(ISNUMBER(R9),R9,Q9+FreshDays)&lt;ReviewDate),"STALE READINESS EVIDENCE ",""))&amp;IF(AND(A9&lt;&gt;"",X9&lt;&gt;"",X9&lt;&gt;"Consumer accepted",X9&lt;&gt;"Authorised removal"),"LINKED DEPENDENCY UNRESOLVED ","")</f>
        <v/>
      </c>
      <c r="H9" s="11" t="str">
        <f t="shared" ref="H9:H40" si="1">IF(A9="","",IF(V9="Yes","Hold release or obtain explicit authorised risk acceptance.",IF(G9&lt;&gt;"","Demonstrate the operator task and record current evidence.","")))</f>
        <v/>
      </c>
      <c r="I9" s="8" t="s">
        <v>370</v>
      </c>
      <c r="J9" s="8" t="s">
        <v>371</v>
      </c>
      <c r="K9" s="8" t="s">
        <v>372</v>
      </c>
      <c r="L9" s="8" t="s">
        <v>153</v>
      </c>
      <c r="M9" s="8" t="s">
        <v>275</v>
      </c>
      <c r="N9" s="8"/>
      <c r="O9" s="9"/>
      <c r="P9" s="8"/>
      <c r="Q9" s="9">
        <v>46287</v>
      </c>
      <c r="R9" s="8"/>
      <c r="S9" s="8"/>
      <c r="T9" s="8" t="s">
        <v>170</v>
      </c>
      <c r="U9" s="8"/>
      <c r="V9" s="11" t="str">
        <f t="shared" ref="V9:V40" si="2">IF(A9="","",IF(AND(M9="Yes",NOT(AND(C9="Pass",J9&lt;&gt;"",ISNUMBER(Q9),IF(ISNUMBER(R9),R9,Q9+FreshDays)&gt;=ReviewDate,OR(X9="",X9="Consumer accepted",X9="Authorised removal")))),"Yes","No"))</f>
        <v>No</v>
      </c>
      <c r="W9" s="11" t="str">
        <f t="shared" ref="W9:W40" si="3">IF(A9="","",IF(P9="","No acceptance recorded",IF(OR(N9="",O9=""),"Incomplete acceptance",IF(O9&lt;ReviewDate,"Expired acceptance","Recorded acceptance - verify scope"))))</f>
        <v>No acceptance recorded</v>
      </c>
      <c r="X9" s="11" t="str">
        <f>IF(A9="","",IF(S9="","",IF(COUNTIF('05 - DEPENDENCIES'!$A$9:$A$58,S9)=0,"Unknown ID",IF(COUNTIF('05 - DEPENDENCIES'!$A$9:$A$58,S9)&gt;1,"Duplicate ID",INDEX('05 - DEPENDENCIES'!$AI$9:$AI$58,MATCH(S9,'05 - DEPENDENCIES'!$A$9:$A$58,0))))))</f>
        <v/>
      </c>
    </row>
    <row r="10" spans="1:24" ht="26.45" customHeight="1">
      <c r="A10" s="8" t="s">
        <v>373</v>
      </c>
      <c r="B10" s="8" t="s">
        <v>374</v>
      </c>
      <c r="C10" s="8" t="s">
        <v>172</v>
      </c>
      <c r="D10" s="8" t="s">
        <v>64</v>
      </c>
      <c r="E10" s="9">
        <v>46293</v>
      </c>
      <c r="F10" s="11" t="str">
        <f t="shared" si="0"/>
        <v>Review</v>
      </c>
      <c r="G10" s="20" t="str">
        <f>IF(A10="","",IF(COUNTIF('08 - READINESS'!$A$9:$A$58,A10)&gt;1,"DUPLICATE ID ","")&amp;IF(ReviewDate="","SET REVIEW DATE ","")&amp;IF(V10="Yes","RELEASE BLOCKER ","")&amp;IF(OR(C10="Unknown",C10=""),"READINESS UNKNOWN ","")&amp;IF(AND(C10="Pass",OR(J10="",Q10="")),"PASS WITHOUT DATED EVIDENCE ","")&amp;IF(AND(C10="Not applicable",U10=""),"NA REASON MISSING ","")&amp;IF(W10="Expired acceptance","EXPIRED EXCEPTION ","")&amp;IF(AND(ISNUMBER(Q10),IF(ISNUMBER(R10),R10,Q10+FreshDays)&lt;ReviewDate),"STALE READINESS EVIDENCE ",""))&amp;IF(AND(A10&lt;&gt;"",X10&lt;&gt;"",X10&lt;&gt;"Consumer accepted",X10&lt;&gt;"Authorised removal"),"LINKED DEPENDENCY UNRESOLVED ","")</f>
        <v xml:space="preserve">READINESS UNKNOWN </v>
      </c>
      <c r="H10" s="11" t="str">
        <f t="shared" si="1"/>
        <v>Demonstrate the operator task and record current evidence.</v>
      </c>
      <c r="I10" s="8" t="s">
        <v>370</v>
      </c>
      <c r="J10" s="8"/>
      <c r="K10" s="8" t="s">
        <v>375</v>
      </c>
      <c r="L10" s="8" t="s">
        <v>153</v>
      </c>
      <c r="M10" s="8" t="s">
        <v>275</v>
      </c>
      <c r="N10" s="8"/>
      <c r="O10" s="9"/>
      <c r="P10" s="8"/>
      <c r="Q10" s="9"/>
      <c r="R10" s="8"/>
      <c r="S10" s="8"/>
      <c r="T10" s="8" t="s">
        <v>170</v>
      </c>
      <c r="U10" s="8"/>
      <c r="V10" s="11" t="str">
        <f t="shared" si="2"/>
        <v>No</v>
      </c>
      <c r="W10" s="11" t="str">
        <f t="shared" si="3"/>
        <v>No acceptance recorded</v>
      </c>
      <c r="X10" s="11" t="str">
        <f>IF(A10="","",IF(S10="","",IF(COUNTIF('05 - DEPENDENCIES'!$A$9:$A$58,S10)=0,"Unknown ID",IF(COUNTIF('05 - DEPENDENCIES'!$A$9:$A$58,S10)&gt;1,"Duplicate ID",INDEX('05 - DEPENDENCIES'!$AI$9:$AI$58,MATCH(S10,'05 - DEPENDENCIES'!$A$9:$A$58,0))))))</f>
        <v/>
      </c>
    </row>
    <row r="11" spans="1:24" ht="26.45" customHeight="1">
      <c r="A11" s="8" t="s">
        <v>376</v>
      </c>
      <c r="B11" s="8" t="s">
        <v>377</v>
      </c>
      <c r="C11" s="8" t="s">
        <v>369</v>
      </c>
      <c r="D11" s="8" t="s">
        <v>64</v>
      </c>
      <c r="E11" s="9">
        <v>46293</v>
      </c>
      <c r="F11" s="11" t="str">
        <f t="shared" si="0"/>
        <v>Routine</v>
      </c>
      <c r="G11" s="20" t="str">
        <f>IF(A11="","",IF(COUNTIF('08 - READINESS'!$A$9:$A$58,A11)&gt;1,"DUPLICATE ID ","")&amp;IF(ReviewDate="","SET REVIEW DATE ","")&amp;IF(V11="Yes","RELEASE BLOCKER ","")&amp;IF(OR(C11="Unknown",C11=""),"READINESS UNKNOWN ","")&amp;IF(AND(C11="Pass",OR(J11="",Q11="")),"PASS WITHOUT DATED EVIDENCE ","")&amp;IF(AND(C11="Not applicable",U11=""),"NA REASON MISSING ","")&amp;IF(W11="Expired acceptance","EXPIRED EXCEPTION ","")&amp;IF(AND(ISNUMBER(Q11),IF(ISNUMBER(R11),R11,Q11+FreshDays)&lt;ReviewDate),"STALE READINESS EVIDENCE ",""))&amp;IF(AND(A11&lt;&gt;"",X11&lt;&gt;"",X11&lt;&gt;"Consumer accepted",X11&lt;&gt;"Authorised removal"),"LINKED DEPENDENCY UNRESOLVED ","")</f>
        <v/>
      </c>
      <c r="H11" s="11" t="str">
        <f t="shared" si="1"/>
        <v/>
      </c>
      <c r="I11" s="8" t="s">
        <v>370</v>
      </c>
      <c r="J11" s="8" t="s">
        <v>378</v>
      </c>
      <c r="K11" s="8" t="s">
        <v>372</v>
      </c>
      <c r="L11" s="8" t="s">
        <v>153</v>
      </c>
      <c r="M11" s="8" t="s">
        <v>275</v>
      </c>
      <c r="N11" s="8"/>
      <c r="O11" s="9"/>
      <c r="P11" s="8"/>
      <c r="Q11" s="9">
        <v>46288</v>
      </c>
      <c r="R11" s="8"/>
      <c r="S11" s="8"/>
      <c r="T11" s="8" t="s">
        <v>170</v>
      </c>
      <c r="U11" s="8"/>
      <c r="V11" s="11" t="str">
        <f t="shared" si="2"/>
        <v>No</v>
      </c>
      <c r="W11" s="11" t="str">
        <f t="shared" si="3"/>
        <v>No acceptance recorded</v>
      </c>
      <c r="X11" s="11" t="str">
        <f>IF(A11="","",IF(S11="","",IF(COUNTIF('05 - DEPENDENCIES'!$A$9:$A$58,S11)=0,"Unknown ID",IF(COUNTIF('05 - DEPENDENCIES'!$A$9:$A$58,S11)&gt;1,"Duplicate ID",INDEX('05 - DEPENDENCIES'!$AI$9:$AI$58,MATCH(S11,'05 - DEPENDENCIES'!$A$9:$A$58,0))))))</f>
        <v/>
      </c>
    </row>
    <row r="12" spans="1:24" ht="26.45" customHeight="1">
      <c r="A12" s="8" t="s">
        <v>184</v>
      </c>
      <c r="B12" s="8" t="s">
        <v>379</v>
      </c>
      <c r="C12" s="8" t="s">
        <v>380</v>
      </c>
      <c r="D12" s="8" t="s">
        <v>381</v>
      </c>
      <c r="E12" s="9">
        <v>46293</v>
      </c>
      <c r="F12" s="11" t="str">
        <f t="shared" si="0"/>
        <v>Critical</v>
      </c>
      <c r="G12" s="20" t="str">
        <f>IF(A12="","",IF(COUNTIF('08 - READINESS'!$A$9:$A$58,A12)&gt;1,"DUPLICATE ID ","")&amp;IF(ReviewDate="","SET REVIEW DATE ","")&amp;IF(V12="Yes","RELEASE BLOCKER ","")&amp;IF(OR(C12="Unknown",C12=""),"READINESS UNKNOWN ","")&amp;IF(AND(C12="Pass",OR(J12="",Q12="")),"PASS WITHOUT DATED EVIDENCE ","")&amp;IF(AND(C12="Not applicable",U12=""),"NA REASON MISSING ","")&amp;IF(W12="Expired acceptance","EXPIRED EXCEPTION ","")&amp;IF(AND(ISNUMBER(Q12),IF(ISNUMBER(R12),R12,Q12+FreshDays)&lt;ReviewDate),"STALE READINESS EVIDENCE ",""))&amp;IF(AND(A12&lt;&gt;"",X12&lt;&gt;"",X12&lt;&gt;"Consumer accepted",X12&lt;&gt;"Authorised removal"),"LINKED DEPENDENCY UNRESOLVED ","")</f>
        <v xml:space="preserve">RELEASE BLOCKER LINKED DEPENDENCY UNRESOLVED </v>
      </c>
      <c r="H12" s="11" t="str">
        <f t="shared" si="1"/>
        <v>Hold release or obtain explicit authorised risk acceptance.</v>
      </c>
      <c r="I12" s="8" t="s">
        <v>382</v>
      </c>
      <c r="J12" s="8"/>
      <c r="K12" s="8" t="s">
        <v>375</v>
      </c>
      <c r="L12" s="8" t="s">
        <v>271</v>
      </c>
      <c r="M12" s="8" t="s">
        <v>305</v>
      </c>
      <c r="N12" s="8"/>
      <c r="O12" s="9"/>
      <c r="P12" s="8"/>
      <c r="Q12" s="9"/>
      <c r="R12" s="8"/>
      <c r="S12" s="8" t="s">
        <v>165</v>
      </c>
      <c r="T12" s="8" t="s">
        <v>170</v>
      </c>
      <c r="U12" s="8"/>
      <c r="V12" s="11" t="str">
        <f t="shared" si="2"/>
        <v>Yes</v>
      </c>
      <c r="W12" s="11" t="str">
        <f t="shared" si="3"/>
        <v>No acceptance recorded</v>
      </c>
      <c r="X12" s="11" t="str">
        <f>IF(A12="","",IF(S12="","",IF(COUNTIF('05 - DEPENDENCIES'!$A$9:$A$58,S12)=0,"Unknown ID",IF(COUNTIF('05 - DEPENDENCIES'!$A$9:$A$58,S12)&gt;1,"Duplicate ID",INDEX('05 - DEPENDENCIES'!$AI$9:$AI$58,MATCH(S12,'05 - DEPENDENCIES'!$A$9:$A$58,0))))))</f>
        <v>Unresolved</v>
      </c>
    </row>
    <row r="13" spans="1:24" ht="26.45" customHeight="1">
      <c r="A13" s="8" t="s">
        <v>383</v>
      </c>
      <c r="B13" s="8" t="s">
        <v>384</v>
      </c>
      <c r="C13" s="8" t="s">
        <v>172</v>
      </c>
      <c r="D13" s="8" t="s">
        <v>176</v>
      </c>
      <c r="E13" s="9">
        <v>46294</v>
      </c>
      <c r="F13" s="11" t="str">
        <f t="shared" si="0"/>
        <v>Critical</v>
      </c>
      <c r="G13" s="20" t="str">
        <f>IF(A13="","",IF(COUNTIF('08 - READINESS'!$A$9:$A$58,A13)&gt;1,"DUPLICATE ID ","")&amp;IF(ReviewDate="","SET REVIEW DATE ","")&amp;IF(V13="Yes","RELEASE BLOCKER ","")&amp;IF(OR(C13="Unknown",C13=""),"READINESS UNKNOWN ","")&amp;IF(AND(C13="Pass",OR(J13="",Q13="")),"PASS WITHOUT DATED EVIDENCE ","")&amp;IF(AND(C13="Not applicable",U13=""),"NA REASON MISSING ","")&amp;IF(W13="Expired acceptance","EXPIRED EXCEPTION ","")&amp;IF(AND(ISNUMBER(Q13),IF(ISNUMBER(R13),R13,Q13+FreshDays)&lt;ReviewDate),"STALE READINESS EVIDENCE ",""))&amp;IF(AND(A13&lt;&gt;"",X13&lt;&gt;"",X13&lt;&gt;"Consumer accepted",X13&lt;&gt;"Authorised removal"),"LINKED DEPENDENCY UNRESOLVED ","")</f>
        <v xml:space="preserve">RELEASE BLOCKER READINESS UNKNOWN LINKED DEPENDENCY UNRESOLVED </v>
      </c>
      <c r="H13" s="11" t="str">
        <f t="shared" si="1"/>
        <v>Hold release or obtain explicit authorised risk acceptance.</v>
      </c>
      <c r="I13" s="8" t="s">
        <v>385</v>
      </c>
      <c r="J13" s="8"/>
      <c r="K13" s="8" t="s">
        <v>375</v>
      </c>
      <c r="L13" s="8" t="s">
        <v>271</v>
      </c>
      <c r="M13" s="8" t="s">
        <v>305</v>
      </c>
      <c r="N13" s="8"/>
      <c r="O13" s="9"/>
      <c r="P13" s="8"/>
      <c r="Q13" s="9"/>
      <c r="R13" s="8"/>
      <c r="S13" s="8" t="s">
        <v>165</v>
      </c>
      <c r="T13" s="8" t="s">
        <v>170</v>
      </c>
      <c r="U13" s="8"/>
      <c r="V13" s="11" t="str">
        <f t="shared" si="2"/>
        <v>Yes</v>
      </c>
      <c r="W13" s="11" t="str">
        <f t="shared" si="3"/>
        <v>No acceptance recorded</v>
      </c>
      <c r="X13" s="11" t="str">
        <f>IF(A13="","",IF(S13="","",IF(COUNTIF('05 - DEPENDENCIES'!$A$9:$A$58,S13)=0,"Unknown ID",IF(COUNTIF('05 - DEPENDENCIES'!$A$9:$A$58,S13)&gt;1,"Duplicate ID",INDEX('05 - DEPENDENCIES'!$AI$9:$AI$58,MATCH(S13,'05 - DEPENDENCIES'!$A$9:$A$58,0))))))</f>
        <v>Unresolved</v>
      </c>
    </row>
    <row r="14" spans="1:24" ht="26.45" customHeight="1">
      <c r="A14" s="8" t="s">
        <v>386</v>
      </c>
      <c r="B14" s="8" t="s">
        <v>387</v>
      </c>
      <c r="C14" s="8" t="s">
        <v>172</v>
      </c>
      <c r="D14" s="8" t="s">
        <v>64</v>
      </c>
      <c r="E14" s="9">
        <v>46293</v>
      </c>
      <c r="F14" s="11" t="str">
        <f t="shared" si="0"/>
        <v>Review</v>
      </c>
      <c r="G14" s="20" t="str">
        <f>IF(A14="","",IF(COUNTIF('08 - READINESS'!$A$9:$A$58,A14)&gt;1,"DUPLICATE ID ","")&amp;IF(ReviewDate="","SET REVIEW DATE ","")&amp;IF(V14="Yes","RELEASE BLOCKER ","")&amp;IF(OR(C14="Unknown",C14=""),"READINESS UNKNOWN ","")&amp;IF(AND(C14="Pass",OR(J14="",Q14="")),"PASS WITHOUT DATED EVIDENCE ","")&amp;IF(AND(C14="Not applicable",U14=""),"NA REASON MISSING ","")&amp;IF(W14="Expired acceptance","EXPIRED EXCEPTION ","")&amp;IF(AND(ISNUMBER(Q14),IF(ISNUMBER(R14),R14,Q14+FreshDays)&lt;ReviewDate),"STALE READINESS EVIDENCE ",""))&amp;IF(AND(A14&lt;&gt;"",X14&lt;&gt;"",X14&lt;&gt;"Consumer accepted",X14&lt;&gt;"Authorised removal"),"LINKED DEPENDENCY UNRESOLVED ","")</f>
        <v xml:space="preserve">READINESS UNKNOWN </v>
      </c>
      <c r="H14" s="11" t="str">
        <f t="shared" si="1"/>
        <v>Demonstrate the operator task and record current evidence.</v>
      </c>
      <c r="I14" s="8" t="s">
        <v>370</v>
      </c>
      <c r="J14" s="8"/>
      <c r="K14" s="8" t="s">
        <v>375</v>
      </c>
      <c r="L14" s="8" t="s">
        <v>153</v>
      </c>
      <c r="M14" s="8" t="s">
        <v>275</v>
      </c>
      <c r="N14" s="8"/>
      <c r="O14" s="9"/>
      <c r="P14" s="8"/>
      <c r="Q14" s="9"/>
      <c r="R14" s="8"/>
      <c r="S14" s="8"/>
      <c r="T14" s="8" t="s">
        <v>170</v>
      </c>
      <c r="U14" s="8"/>
      <c r="V14" s="11" t="str">
        <f t="shared" si="2"/>
        <v>No</v>
      </c>
      <c r="W14" s="11" t="str">
        <f t="shared" si="3"/>
        <v>No acceptance recorded</v>
      </c>
      <c r="X14" s="11" t="str">
        <f>IF(A14="","",IF(S14="","",IF(COUNTIF('05 - DEPENDENCIES'!$A$9:$A$58,S14)=0,"Unknown ID",IF(COUNTIF('05 - DEPENDENCIES'!$A$9:$A$58,S14)&gt;1,"Duplicate ID",INDEX('05 - DEPENDENCIES'!$AI$9:$AI$58,MATCH(S14,'05 - DEPENDENCIES'!$A$9:$A$58,0))))))</f>
        <v/>
      </c>
    </row>
    <row r="15" spans="1:24" ht="26.45" customHeight="1">
      <c r="A15" s="8" t="s">
        <v>388</v>
      </c>
      <c r="B15" s="8" t="s">
        <v>389</v>
      </c>
      <c r="C15" s="8" t="s">
        <v>172</v>
      </c>
      <c r="D15" s="8" t="s">
        <v>64</v>
      </c>
      <c r="E15" s="9">
        <v>46293</v>
      </c>
      <c r="F15" s="11" t="str">
        <f t="shared" si="0"/>
        <v>Review</v>
      </c>
      <c r="G15" s="20" t="str">
        <f>IF(A15="","",IF(COUNTIF('08 - READINESS'!$A$9:$A$58,A15)&gt;1,"DUPLICATE ID ","")&amp;IF(ReviewDate="","SET REVIEW DATE ","")&amp;IF(V15="Yes","RELEASE BLOCKER ","")&amp;IF(OR(C15="Unknown",C15=""),"READINESS UNKNOWN ","")&amp;IF(AND(C15="Pass",OR(J15="",Q15="")),"PASS WITHOUT DATED EVIDENCE ","")&amp;IF(AND(C15="Not applicable",U15=""),"NA REASON MISSING ","")&amp;IF(W15="Expired acceptance","EXPIRED EXCEPTION ","")&amp;IF(AND(ISNUMBER(Q15),IF(ISNUMBER(R15),R15,Q15+FreshDays)&lt;ReviewDate),"STALE READINESS EVIDENCE ",""))&amp;IF(AND(A15&lt;&gt;"",X15&lt;&gt;"",X15&lt;&gt;"Consumer accepted",X15&lt;&gt;"Authorised removal"),"LINKED DEPENDENCY UNRESOLVED ","")</f>
        <v xml:space="preserve">READINESS UNKNOWN </v>
      </c>
      <c r="H15" s="11" t="str">
        <f t="shared" si="1"/>
        <v>Demonstrate the operator task and record current evidence.</v>
      </c>
      <c r="I15" s="8" t="s">
        <v>370</v>
      </c>
      <c r="J15" s="8"/>
      <c r="K15" s="8" t="s">
        <v>375</v>
      </c>
      <c r="L15" s="8" t="s">
        <v>153</v>
      </c>
      <c r="M15" s="8" t="s">
        <v>275</v>
      </c>
      <c r="N15" s="8"/>
      <c r="O15" s="9"/>
      <c r="P15" s="8"/>
      <c r="Q15" s="9"/>
      <c r="R15" s="8"/>
      <c r="S15" s="8"/>
      <c r="T15" s="8" t="s">
        <v>170</v>
      </c>
      <c r="U15" s="8"/>
      <c r="V15" s="11" t="str">
        <f t="shared" si="2"/>
        <v>No</v>
      </c>
      <c r="W15" s="11" t="str">
        <f t="shared" si="3"/>
        <v>No acceptance recorded</v>
      </c>
      <c r="X15" s="11" t="str">
        <f>IF(A15="","",IF(S15="","",IF(COUNTIF('05 - DEPENDENCIES'!$A$9:$A$58,S15)=0,"Unknown ID",IF(COUNTIF('05 - DEPENDENCIES'!$A$9:$A$58,S15)&gt;1,"Duplicate ID",INDEX('05 - DEPENDENCIES'!$AI$9:$AI$58,MATCH(S15,'05 - DEPENDENCIES'!$A$9:$A$58,0))))))</f>
        <v/>
      </c>
    </row>
    <row r="16" spans="1:24" ht="26.45" customHeight="1">
      <c r="A16" s="8" t="s">
        <v>390</v>
      </c>
      <c r="B16" s="8" t="s">
        <v>391</v>
      </c>
      <c r="C16" s="8" t="s">
        <v>369</v>
      </c>
      <c r="D16" s="8" t="s">
        <v>64</v>
      </c>
      <c r="E16" s="9">
        <v>46293</v>
      </c>
      <c r="F16" s="11" t="str">
        <f t="shared" si="0"/>
        <v>Routine</v>
      </c>
      <c r="G16" s="20" t="str">
        <f>IF(A16="","",IF(COUNTIF('08 - READINESS'!$A$9:$A$58,A16)&gt;1,"DUPLICATE ID ","")&amp;IF(ReviewDate="","SET REVIEW DATE ","")&amp;IF(V16="Yes","RELEASE BLOCKER ","")&amp;IF(OR(C16="Unknown",C16=""),"READINESS UNKNOWN ","")&amp;IF(AND(C16="Pass",OR(J16="",Q16="")),"PASS WITHOUT DATED EVIDENCE ","")&amp;IF(AND(C16="Not applicable",U16=""),"NA REASON MISSING ","")&amp;IF(W16="Expired acceptance","EXPIRED EXCEPTION ","")&amp;IF(AND(ISNUMBER(Q16),IF(ISNUMBER(R16),R16,Q16+FreshDays)&lt;ReviewDate),"STALE READINESS EVIDENCE ",""))&amp;IF(AND(A16&lt;&gt;"",X16&lt;&gt;"",X16&lt;&gt;"Consumer accepted",X16&lt;&gt;"Authorised removal"),"LINKED DEPENDENCY UNRESOLVED ","")</f>
        <v/>
      </c>
      <c r="H16" s="11" t="str">
        <f t="shared" si="1"/>
        <v/>
      </c>
      <c r="I16" s="8" t="s">
        <v>370</v>
      </c>
      <c r="J16" s="8" t="s">
        <v>392</v>
      </c>
      <c r="K16" s="8" t="s">
        <v>372</v>
      </c>
      <c r="L16" s="8" t="s">
        <v>153</v>
      </c>
      <c r="M16" s="8" t="s">
        <v>275</v>
      </c>
      <c r="N16" s="8"/>
      <c r="O16" s="9"/>
      <c r="P16" s="8"/>
      <c r="Q16" s="9">
        <v>46288</v>
      </c>
      <c r="R16" s="8"/>
      <c r="S16" s="8"/>
      <c r="T16" s="8" t="s">
        <v>170</v>
      </c>
      <c r="U16" s="8"/>
      <c r="V16" s="11" t="str">
        <f t="shared" si="2"/>
        <v>No</v>
      </c>
      <c r="W16" s="11" t="str">
        <f t="shared" si="3"/>
        <v>No acceptance recorded</v>
      </c>
      <c r="X16" s="11" t="str">
        <f>IF(A16="","",IF(S16="","",IF(COUNTIF('05 - DEPENDENCIES'!$A$9:$A$58,S16)=0,"Unknown ID",IF(COUNTIF('05 - DEPENDENCIES'!$A$9:$A$58,S16)&gt;1,"Duplicate ID",INDEX('05 - DEPENDENCIES'!$AI$9:$AI$58,MATCH(S16,'05 - DEPENDENCIES'!$A$9:$A$58,0))))))</f>
        <v/>
      </c>
    </row>
    <row r="17" spans="1:24" ht="26.45" customHeight="1">
      <c r="A17" s="8" t="s">
        <v>393</v>
      </c>
      <c r="B17" s="8" t="s">
        <v>394</v>
      </c>
      <c r="C17" s="8" t="s">
        <v>172</v>
      </c>
      <c r="D17" s="8" t="s">
        <v>64</v>
      </c>
      <c r="E17" s="9">
        <v>46293</v>
      </c>
      <c r="F17" s="11" t="str">
        <f t="shared" si="0"/>
        <v>Review</v>
      </c>
      <c r="G17" s="20" t="str">
        <f>IF(A17="","",IF(COUNTIF('08 - READINESS'!$A$9:$A$58,A17)&gt;1,"DUPLICATE ID ","")&amp;IF(ReviewDate="","SET REVIEW DATE ","")&amp;IF(V17="Yes","RELEASE BLOCKER ","")&amp;IF(OR(C17="Unknown",C17=""),"READINESS UNKNOWN ","")&amp;IF(AND(C17="Pass",OR(J17="",Q17="")),"PASS WITHOUT DATED EVIDENCE ","")&amp;IF(AND(C17="Not applicable",U17=""),"NA REASON MISSING ","")&amp;IF(W17="Expired acceptance","EXPIRED EXCEPTION ","")&amp;IF(AND(ISNUMBER(Q17),IF(ISNUMBER(R17),R17,Q17+FreshDays)&lt;ReviewDate),"STALE READINESS EVIDENCE ",""))&amp;IF(AND(A17&lt;&gt;"",X17&lt;&gt;"",X17&lt;&gt;"Consumer accepted",X17&lt;&gt;"Authorised removal"),"LINKED DEPENDENCY UNRESOLVED ","")</f>
        <v xml:space="preserve">READINESS UNKNOWN </v>
      </c>
      <c r="H17" s="11" t="str">
        <f t="shared" si="1"/>
        <v>Demonstrate the operator task and record current evidence.</v>
      </c>
      <c r="I17" s="8" t="s">
        <v>370</v>
      </c>
      <c r="J17" s="8"/>
      <c r="K17" s="8" t="s">
        <v>375</v>
      </c>
      <c r="L17" s="8" t="s">
        <v>153</v>
      </c>
      <c r="M17" s="8" t="s">
        <v>275</v>
      </c>
      <c r="N17" s="8"/>
      <c r="O17" s="9"/>
      <c r="P17" s="8"/>
      <c r="Q17" s="9"/>
      <c r="R17" s="8"/>
      <c r="S17" s="8"/>
      <c r="T17" s="8" t="s">
        <v>170</v>
      </c>
      <c r="U17" s="8"/>
      <c r="V17" s="11" t="str">
        <f t="shared" si="2"/>
        <v>No</v>
      </c>
      <c r="W17" s="11" t="str">
        <f t="shared" si="3"/>
        <v>No acceptance recorded</v>
      </c>
      <c r="X17" s="11" t="str">
        <f>IF(A17="","",IF(S17="","",IF(COUNTIF('05 - DEPENDENCIES'!$A$9:$A$58,S17)=0,"Unknown ID",IF(COUNTIF('05 - DEPENDENCIES'!$A$9:$A$58,S17)&gt;1,"Duplicate ID",INDEX('05 - DEPENDENCIES'!$AI$9:$AI$58,MATCH(S17,'05 - DEPENDENCIES'!$A$9:$A$58,0))))))</f>
        <v/>
      </c>
    </row>
    <row r="18" spans="1:24" ht="26.45" customHeight="1">
      <c r="A18" s="8" t="s">
        <v>395</v>
      </c>
      <c r="B18" s="8" t="s">
        <v>396</v>
      </c>
      <c r="C18" s="8" t="s">
        <v>172</v>
      </c>
      <c r="D18" s="8" t="s">
        <v>64</v>
      </c>
      <c r="E18" s="9">
        <v>46294</v>
      </c>
      <c r="F18" s="11" t="str">
        <f t="shared" si="0"/>
        <v>Review</v>
      </c>
      <c r="G18" s="20" t="str">
        <f>IF(A18="","",IF(COUNTIF('08 - READINESS'!$A$9:$A$58,A18)&gt;1,"DUPLICATE ID ","")&amp;IF(ReviewDate="","SET REVIEW DATE ","")&amp;IF(V18="Yes","RELEASE BLOCKER ","")&amp;IF(OR(C18="Unknown",C18=""),"READINESS UNKNOWN ","")&amp;IF(AND(C18="Pass",OR(J18="",Q18="")),"PASS WITHOUT DATED EVIDENCE ","")&amp;IF(AND(C18="Not applicable",U18=""),"NA REASON MISSING ","")&amp;IF(W18="Expired acceptance","EXPIRED EXCEPTION ","")&amp;IF(AND(ISNUMBER(Q18),IF(ISNUMBER(R18),R18,Q18+FreshDays)&lt;ReviewDate),"STALE READINESS EVIDENCE ",""))&amp;IF(AND(A18&lt;&gt;"",X18&lt;&gt;"",X18&lt;&gt;"Consumer accepted",X18&lt;&gt;"Authorised removal"),"LINKED DEPENDENCY UNRESOLVED ","")</f>
        <v xml:space="preserve">READINESS UNKNOWN </v>
      </c>
      <c r="H18" s="11" t="str">
        <f t="shared" si="1"/>
        <v>Demonstrate the operator task and record current evidence.</v>
      </c>
      <c r="I18" s="8" t="s">
        <v>370</v>
      </c>
      <c r="J18" s="8"/>
      <c r="K18" s="8" t="s">
        <v>375</v>
      </c>
      <c r="L18" s="8" t="s">
        <v>153</v>
      </c>
      <c r="M18" s="8" t="s">
        <v>275</v>
      </c>
      <c r="N18" s="8"/>
      <c r="O18" s="9"/>
      <c r="P18" s="8"/>
      <c r="Q18" s="9"/>
      <c r="R18" s="8"/>
      <c r="S18" s="8"/>
      <c r="T18" s="8" t="s">
        <v>170</v>
      </c>
      <c r="U18" s="8"/>
      <c r="V18" s="11" t="str">
        <f t="shared" si="2"/>
        <v>No</v>
      </c>
      <c r="W18" s="11" t="str">
        <f t="shared" si="3"/>
        <v>No acceptance recorded</v>
      </c>
      <c r="X18" s="11" t="str">
        <f>IF(A18="","",IF(S18="","",IF(COUNTIF('05 - DEPENDENCIES'!$A$9:$A$58,S18)=0,"Unknown ID",IF(COUNTIF('05 - DEPENDENCIES'!$A$9:$A$58,S18)&gt;1,"Duplicate ID",INDEX('05 - DEPENDENCIES'!$AI$9:$AI$58,MATCH(S18,'05 - DEPENDENCIES'!$A$9:$A$58,0))))))</f>
        <v/>
      </c>
    </row>
    <row r="19" spans="1:24" ht="26.45" customHeight="1">
      <c r="A19" s="8" t="s">
        <v>397</v>
      </c>
      <c r="B19" s="8" t="s">
        <v>398</v>
      </c>
      <c r="C19" s="8" t="s">
        <v>172</v>
      </c>
      <c r="D19" s="8" t="s">
        <v>64</v>
      </c>
      <c r="E19" s="9">
        <v>46294</v>
      </c>
      <c r="F19" s="11" t="str">
        <f t="shared" si="0"/>
        <v>Critical</v>
      </c>
      <c r="G19" s="20" t="str">
        <f>IF(A19="","",IF(COUNTIF('08 - READINESS'!$A$9:$A$58,A19)&gt;1,"DUPLICATE ID ","")&amp;IF(ReviewDate="","SET REVIEW DATE ","")&amp;IF(V19="Yes","RELEASE BLOCKER ","")&amp;IF(OR(C19="Unknown",C19=""),"READINESS UNKNOWN ","")&amp;IF(AND(C19="Pass",OR(J19="",Q19="")),"PASS WITHOUT DATED EVIDENCE ","")&amp;IF(AND(C19="Not applicable",U19=""),"NA REASON MISSING ","")&amp;IF(W19="Expired acceptance","EXPIRED EXCEPTION ","")&amp;IF(AND(ISNUMBER(Q19),IF(ISNUMBER(R19),R19,Q19+FreshDays)&lt;ReviewDate),"STALE READINESS EVIDENCE ",""))&amp;IF(AND(A19&lt;&gt;"",X19&lt;&gt;"",X19&lt;&gt;"Consumer accepted",X19&lt;&gt;"Authorised removal"),"LINKED DEPENDENCY UNRESOLVED ","")</f>
        <v xml:space="preserve">RELEASE BLOCKER READINESS UNKNOWN </v>
      </c>
      <c r="H19" s="11" t="str">
        <f t="shared" si="1"/>
        <v>Hold release or obtain explicit authorised risk acceptance.</v>
      </c>
      <c r="I19" s="8" t="s">
        <v>370</v>
      </c>
      <c r="J19" s="8"/>
      <c r="K19" s="8" t="s">
        <v>375</v>
      </c>
      <c r="L19" s="8" t="s">
        <v>271</v>
      </c>
      <c r="M19" s="8" t="s">
        <v>305</v>
      </c>
      <c r="N19" s="8"/>
      <c r="O19" s="9"/>
      <c r="P19" s="8"/>
      <c r="Q19" s="9"/>
      <c r="R19" s="8"/>
      <c r="S19" s="8"/>
      <c r="T19" s="8" t="s">
        <v>170</v>
      </c>
      <c r="U19" s="8"/>
      <c r="V19" s="11" t="str">
        <f t="shared" si="2"/>
        <v>Yes</v>
      </c>
      <c r="W19" s="11" t="str">
        <f t="shared" si="3"/>
        <v>No acceptance recorded</v>
      </c>
      <c r="X19" s="11" t="str">
        <f>IF(A19="","",IF(S19="","",IF(COUNTIF('05 - DEPENDENCIES'!$A$9:$A$58,S19)=0,"Unknown ID",IF(COUNTIF('05 - DEPENDENCIES'!$A$9:$A$58,S19)&gt;1,"Duplicate ID",INDEX('05 - DEPENDENCIES'!$AI$9:$AI$58,MATCH(S19,'05 - DEPENDENCIES'!$A$9:$A$58,0))))))</f>
        <v/>
      </c>
    </row>
    <row r="20" spans="1:24" ht="26.45" customHeight="1">
      <c r="A20" s="8" t="s">
        <v>399</v>
      </c>
      <c r="B20" s="8" t="s">
        <v>400</v>
      </c>
      <c r="C20" s="8" t="s">
        <v>172</v>
      </c>
      <c r="D20" s="8" t="s">
        <v>64</v>
      </c>
      <c r="E20" s="9">
        <v>46294</v>
      </c>
      <c r="F20" s="11" t="str">
        <f t="shared" si="0"/>
        <v>Critical</v>
      </c>
      <c r="G20" s="20" t="str">
        <f>IF(A20="","",IF(COUNTIF('08 - READINESS'!$A$9:$A$58,A20)&gt;1,"DUPLICATE ID ","")&amp;IF(ReviewDate="","SET REVIEW DATE ","")&amp;IF(V20="Yes","RELEASE BLOCKER ","")&amp;IF(OR(C20="Unknown",C20=""),"READINESS UNKNOWN ","")&amp;IF(AND(C20="Pass",OR(J20="",Q20="")),"PASS WITHOUT DATED EVIDENCE ","")&amp;IF(AND(C20="Not applicable",U20=""),"NA REASON MISSING ","")&amp;IF(W20="Expired acceptance","EXPIRED EXCEPTION ","")&amp;IF(AND(ISNUMBER(Q20),IF(ISNUMBER(R20),R20,Q20+FreshDays)&lt;ReviewDate),"STALE READINESS EVIDENCE ",""))&amp;IF(AND(A20&lt;&gt;"",X20&lt;&gt;"",X20&lt;&gt;"Consumer accepted",X20&lt;&gt;"Authorised removal"),"LINKED DEPENDENCY UNRESOLVED ","")</f>
        <v xml:space="preserve">RELEASE BLOCKER READINESS UNKNOWN </v>
      </c>
      <c r="H20" s="11" t="str">
        <f t="shared" si="1"/>
        <v>Hold release or obtain explicit authorised risk acceptance.</v>
      </c>
      <c r="I20" s="8" t="s">
        <v>370</v>
      </c>
      <c r="J20" s="8"/>
      <c r="K20" s="8" t="s">
        <v>375</v>
      </c>
      <c r="L20" s="8" t="s">
        <v>271</v>
      </c>
      <c r="M20" s="8" t="s">
        <v>305</v>
      </c>
      <c r="N20" s="8"/>
      <c r="O20" s="9"/>
      <c r="P20" s="8"/>
      <c r="Q20" s="9"/>
      <c r="R20" s="8"/>
      <c r="S20" s="8"/>
      <c r="T20" s="8" t="s">
        <v>170</v>
      </c>
      <c r="U20" s="8"/>
      <c r="V20" s="11" t="str">
        <f t="shared" si="2"/>
        <v>Yes</v>
      </c>
      <c r="W20" s="11" t="str">
        <f t="shared" si="3"/>
        <v>No acceptance recorded</v>
      </c>
      <c r="X20" s="11" t="str">
        <f>IF(A20="","",IF(S20="","",IF(COUNTIF('05 - DEPENDENCIES'!$A$9:$A$58,S20)=0,"Unknown ID",IF(COUNTIF('05 - DEPENDENCIES'!$A$9:$A$58,S20)&gt;1,"Duplicate ID",INDEX('05 - DEPENDENCIES'!$AI$9:$AI$58,MATCH(S20,'05 - DEPENDENCIES'!$A$9:$A$58,0))))))</f>
        <v/>
      </c>
    </row>
    <row r="21" spans="1:24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IF(A21="","",IF(COUNTIF('08 - READINESS'!$A$9:$A$58,A21)&gt;1,"DUPLICATE ID ","")&amp;IF(ReviewDate="","SET REVIEW DATE ","")&amp;IF(V21="Yes","RELEASE BLOCKER ","")&amp;IF(OR(C21="Unknown",C21=""),"READINESS UNKNOWN ","")&amp;IF(AND(C21="Pass",OR(J21="",Q21="")),"PASS WITHOUT DATED EVIDENCE ","")&amp;IF(AND(C21="Not applicable",U21=""),"NA REASON MISSING ","")&amp;IF(W21="Expired acceptance","EXPIRED EXCEPTION ","")&amp;IF(AND(ISNUMBER(Q21),IF(ISNUMBER(R21),R21,Q21+FreshDays)&lt;ReviewDate),"STALE READINESS EVIDENCE ",""))&amp;IF(AND(A21&lt;&gt;"",X21&lt;&gt;"",X21&lt;&gt;"Consumer accepted",X21&lt;&gt;"Authorised removal"),"LINKED DEPENDENCY UNRESOLVED ","")</f>
        <v/>
      </c>
      <c r="H21" s="11" t="str">
        <f t="shared" si="1"/>
        <v/>
      </c>
      <c r="I21" s="8"/>
      <c r="J21" s="8"/>
      <c r="K21" s="8"/>
      <c r="L21" s="8"/>
      <c r="M21" s="8"/>
      <c r="N21" s="8"/>
      <c r="O21" s="9"/>
      <c r="P21" s="8"/>
      <c r="Q21" s="9"/>
      <c r="R21" s="8"/>
      <c r="S21" s="8"/>
      <c r="T21" s="8"/>
      <c r="U21" s="8"/>
      <c r="V21" s="11" t="str">
        <f t="shared" si="2"/>
        <v/>
      </c>
      <c r="W21" s="11" t="str">
        <f t="shared" si="3"/>
        <v/>
      </c>
      <c r="X21" s="11" t="str">
        <f>IF(A21="","",IF(S21="","",IF(COUNTIF('05 - DEPENDENCIES'!$A$9:$A$58,S21)=0,"Unknown ID",IF(COUNTIF('05 - DEPENDENCIES'!$A$9:$A$58,S21)&gt;1,"Duplicate ID",INDEX('05 - DEPENDENCIES'!$AI$9:$AI$58,MATCH(S21,'05 - DEPENDENCIES'!$A$9:$A$58,0))))))</f>
        <v/>
      </c>
    </row>
    <row r="22" spans="1:24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IF(A22="","",IF(COUNTIF('08 - READINESS'!$A$9:$A$58,A22)&gt;1,"DUPLICATE ID ","")&amp;IF(ReviewDate="","SET REVIEW DATE ","")&amp;IF(V22="Yes","RELEASE BLOCKER ","")&amp;IF(OR(C22="Unknown",C22=""),"READINESS UNKNOWN ","")&amp;IF(AND(C22="Pass",OR(J22="",Q22="")),"PASS WITHOUT DATED EVIDENCE ","")&amp;IF(AND(C22="Not applicable",U22=""),"NA REASON MISSING ","")&amp;IF(W22="Expired acceptance","EXPIRED EXCEPTION ","")&amp;IF(AND(ISNUMBER(Q22),IF(ISNUMBER(R22),R22,Q22+FreshDays)&lt;ReviewDate),"STALE READINESS EVIDENCE ",""))&amp;IF(AND(A22&lt;&gt;"",X22&lt;&gt;"",X22&lt;&gt;"Consumer accepted",X22&lt;&gt;"Authorised removal"),"LINKED DEPENDENCY UNRESOLVED ","")</f>
        <v/>
      </c>
      <c r="H22" s="11" t="str">
        <f t="shared" si="1"/>
        <v/>
      </c>
      <c r="I22" s="8"/>
      <c r="J22" s="8"/>
      <c r="K22" s="8"/>
      <c r="L22" s="8"/>
      <c r="M22" s="8"/>
      <c r="N22" s="8"/>
      <c r="O22" s="9"/>
      <c r="P22" s="8"/>
      <c r="Q22" s="9"/>
      <c r="R22" s="8"/>
      <c r="S22" s="8"/>
      <c r="T22" s="8"/>
      <c r="U22" s="8"/>
      <c r="V22" s="11" t="str">
        <f t="shared" si="2"/>
        <v/>
      </c>
      <c r="W22" s="11" t="str">
        <f t="shared" si="3"/>
        <v/>
      </c>
      <c r="X22" s="11" t="str">
        <f>IF(A22="","",IF(S22="","",IF(COUNTIF('05 - DEPENDENCIES'!$A$9:$A$58,S22)=0,"Unknown ID",IF(COUNTIF('05 - DEPENDENCIES'!$A$9:$A$58,S22)&gt;1,"Duplicate ID",INDEX('05 - DEPENDENCIES'!$AI$9:$AI$58,MATCH(S22,'05 - DEPENDENCIES'!$A$9:$A$58,0))))))</f>
        <v/>
      </c>
    </row>
    <row r="23" spans="1:24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IF(A23="","",IF(COUNTIF('08 - READINESS'!$A$9:$A$58,A23)&gt;1,"DUPLICATE ID ","")&amp;IF(ReviewDate="","SET REVIEW DATE ","")&amp;IF(V23="Yes","RELEASE BLOCKER ","")&amp;IF(OR(C23="Unknown",C23=""),"READINESS UNKNOWN ","")&amp;IF(AND(C23="Pass",OR(J23="",Q23="")),"PASS WITHOUT DATED EVIDENCE ","")&amp;IF(AND(C23="Not applicable",U23=""),"NA REASON MISSING ","")&amp;IF(W23="Expired acceptance","EXPIRED EXCEPTION ","")&amp;IF(AND(ISNUMBER(Q23),IF(ISNUMBER(R23),R23,Q23+FreshDays)&lt;ReviewDate),"STALE READINESS EVIDENCE ",""))&amp;IF(AND(A23&lt;&gt;"",X23&lt;&gt;"",X23&lt;&gt;"Consumer accepted",X23&lt;&gt;"Authorised removal"),"LINKED DEPENDENCY UNRESOLVED ","")</f>
        <v/>
      </c>
      <c r="H23" s="11" t="str">
        <f t="shared" si="1"/>
        <v/>
      </c>
      <c r="I23" s="8"/>
      <c r="J23" s="8"/>
      <c r="K23" s="8"/>
      <c r="L23" s="8"/>
      <c r="M23" s="8"/>
      <c r="N23" s="8"/>
      <c r="O23" s="9"/>
      <c r="P23" s="8"/>
      <c r="Q23" s="9"/>
      <c r="R23" s="8"/>
      <c r="S23" s="8"/>
      <c r="T23" s="8"/>
      <c r="U23" s="8"/>
      <c r="V23" s="11" t="str">
        <f t="shared" si="2"/>
        <v/>
      </c>
      <c r="W23" s="11" t="str">
        <f t="shared" si="3"/>
        <v/>
      </c>
      <c r="X23" s="11" t="str">
        <f>IF(A23="","",IF(S23="","",IF(COUNTIF('05 - DEPENDENCIES'!$A$9:$A$58,S23)=0,"Unknown ID",IF(COUNTIF('05 - DEPENDENCIES'!$A$9:$A$58,S23)&gt;1,"Duplicate ID",INDEX('05 - DEPENDENCIES'!$AI$9:$AI$58,MATCH(S23,'05 - DEPENDENCIES'!$A$9:$A$58,0))))))</f>
        <v/>
      </c>
    </row>
    <row r="24" spans="1:24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IF(A24="","",IF(COUNTIF('08 - READINESS'!$A$9:$A$58,A24)&gt;1,"DUPLICATE ID ","")&amp;IF(ReviewDate="","SET REVIEW DATE ","")&amp;IF(V24="Yes","RELEASE BLOCKER ","")&amp;IF(OR(C24="Unknown",C24=""),"READINESS UNKNOWN ","")&amp;IF(AND(C24="Pass",OR(J24="",Q24="")),"PASS WITHOUT DATED EVIDENCE ","")&amp;IF(AND(C24="Not applicable",U24=""),"NA REASON MISSING ","")&amp;IF(W24="Expired acceptance","EXPIRED EXCEPTION ","")&amp;IF(AND(ISNUMBER(Q24),IF(ISNUMBER(R24),R24,Q24+FreshDays)&lt;ReviewDate),"STALE READINESS EVIDENCE ",""))&amp;IF(AND(A24&lt;&gt;"",X24&lt;&gt;"",X24&lt;&gt;"Consumer accepted",X24&lt;&gt;"Authorised removal"),"LINKED DEPENDENCY UNRESOLVED ","")</f>
        <v/>
      </c>
      <c r="H24" s="11" t="str">
        <f t="shared" si="1"/>
        <v/>
      </c>
      <c r="I24" s="8"/>
      <c r="J24" s="8"/>
      <c r="K24" s="8"/>
      <c r="L24" s="8"/>
      <c r="M24" s="8"/>
      <c r="N24" s="8"/>
      <c r="O24" s="9"/>
      <c r="P24" s="8"/>
      <c r="Q24" s="9"/>
      <c r="R24" s="8"/>
      <c r="S24" s="8"/>
      <c r="T24" s="8"/>
      <c r="U24" s="8"/>
      <c r="V24" s="11" t="str">
        <f t="shared" si="2"/>
        <v/>
      </c>
      <c r="W24" s="11" t="str">
        <f t="shared" si="3"/>
        <v/>
      </c>
      <c r="X24" s="11" t="str">
        <f>IF(A24="","",IF(S24="","",IF(COUNTIF('05 - DEPENDENCIES'!$A$9:$A$58,S24)=0,"Unknown ID",IF(COUNTIF('05 - DEPENDENCIES'!$A$9:$A$58,S24)&gt;1,"Duplicate ID",INDEX('05 - DEPENDENCIES'!$AI$9:$AI$58,MATCH(S24,'05 - DEPENDENCIES'!$A$9:$A$58,0))))))</f>
        <v/>
      </c>
    </row>
    <row r="25" spans="1:24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IF(A25="","",IF(COUNTIF('08 - READINESS'!$A$9:$A$58,A25)&gt;1,"DUPLICATE ID ","")&amp;IF(ReviewDate="","SET REVIEW DATE ","")&amp;IF(V25="Yes","RELEASE BLOCKER ","")&amp;IF(OR(C25="Unknown",C25=""),"READINESS UNKNOWN ","")&amp;IF(AND(C25="Pass",OR(J25="",Q25="")),"PASS WITHOUT DATED EVIDENCE ","")&amp;IF(AND(C25="Not applicable",U25=""),"NA REASON MISSING ","")&amp;IF(W25="Expired acceptance","EXPIRED EXCEPTION ","")&amp;IF(AND(ISNUMBER(Q25),IF(ISNUMBER(R25),R25,Q25+FreshDays)&lt;ReviewDate),"STALE READINESS EVIDENCE ",""))&amp;IF(AND(A25&lt;&gt;"",X25&lt;&gt;"",X25&lt;&gt;"Consumer accepted",X25&lt;&gt;"Authorised removal"),"LINKED DEPENDENCY UNRESOLVED ","")</f>
        <v/>
      </c>
      <c r="H25" s="11" t="str">
        <f t="shared" si="1"/>
        <v/>
      </c>
      <c r="I25" s="8"/>
      <c r="J25" s="8"/>
      <c r="K25" s="8"/>
      <c r="L25" s="8"/>
      <c r="M25" s="8"/>
      <c r="N25" s="8"/>
      <c r="O25" s="9"/>
      <c r="P25" s="8"/>
      <c r="Q25" s="9"/>
      <c r="R25" s="8"/>
      <c r="S25" s="8"/>
      <c r="T25" s="8"/>
      <c r="U25" s="8"/>
      <c r="V25" s="11" t="str">
        <f t="shared" si="2"/>
        <v/>
      </c>
      <c r="W25" s="11" t="str">
        <f t="shared" si="3"/>
        <v/>
      </c>
      <c r="X25" s="11" t="str">
        <f>IF(A25="","",IF(S25="","",IF(COUNTIF('05 - DEPENDENCIES'!$A$9:$A$58,S25)=0,"Unknown ID",IF(COUNTIF('05 - DEPENDENCIES'!$A$9:$A$58,S25)&gt;1,"Duplicate ID",INDEX('05 - DEPENDENCIES'!$AI$9:$AI$58,MATCH(S25,'05 - DEPENDENCIES'!$A$9:$A$58,0))))))</f>
        <v/>
      </c>
    </row>
    <row r="26" spans="1:24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IF(A26="","",IF(COUNTIF('08 - READINESS'!$A$9:$A$58,A26)&gt;1,"DUPLICATE ID ","")&amp;IF(ReviewDate="","SET REVIEW DATE ","")&amp;IF(V26="Yes","RELEASE BLOCKER ","")&amp;IF(OR(C26="Unknown",C26=""),"READINESS UNKNOWN ","")&amp;IF(AND(C26="Pass",OR(J26="",Q26="")),"PASS WITHOUT DATED EVIDENCE ","")&amp;IF(AND(C26="Not applicable",U26=""),"NA REASON MISSING ","")&amp;IF(W26="Expired acceptance","EXPIRED EXCEPTION ","")&amp;IF(AND(ISNUMBER(Q26),IF(ISNUMBER(R26),R26,Q26+FreshDays)&lt;ReviewDate),"STALE READINESS EVIDENCE ",""))&amp;IF(AND(A26&lt;&gt;"",X26&lt;&gt;"",X26&lt;&gt;"Consumer accepted",X26&lt;&gt;"Authorised removal"),"LINKED DEPENDENCY UNRESOLVED ","")</f>
        <v/>
      </c>
      <c r="H26" s="11" t="str">
        <f t="shared" si="1"/>
        <v/>
      </c>
      <c r="I26" s="8"/>
      <c r="J26" s="8"/>
      <c r="K26" s="8"/>
      <c r="L26" s="8"/>
      <c r="M26" s="8"/>
      <c r="N26" s="8"/>
      <c r="O26" s="9"/>
      <c r="P26" s="8"/>
      <c r="Q26" s="9"/>
      <c r="R26" s="8"/>
      <c r="S26" s="8"/>
      <c r="T26" s="8"/>
      <c r="U26" s="8"/>
      <c r="V26" s="11" t="str">
        <f t="shared" si="2"/>
        <v/>
      </c>
      <c r="W26" s="11" t="str">
        <f t="shared" si="3"/>
        <v/>
      </c>
      <c r="X26" s="11" t="str">
        <f>IF(A26="","",IF(S26="","",IF(COUNTIF('05 - DEPENDENCIES'!$A$9:$A$58,S26)=0,"Unknown ID",IF(COUNTIF('05 - DEPENDENCIES'!$A$9:$A$58,S26)&gt;1,"Duplicate ID",INDEX('05 - DEPENDENCIES'!$AI$9:$AI$58,MATCH(S26,'05 - DEPENDENCIES'!$A$9:$A$58,0))))))</f>
        <v/>
      </c>
    </row>
    <row r="27" spans="1:24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IF(A27="","",IF(COUNTIF('08 - READINESS'!$A$9:$A$58,A27)&gt;1,"DUPLICATE ID ","")&amp;IF(ReviewDate="","SET REVIEW DATE ","")&amp;IF(V27="Yes","RELEASE BLOCKER ","")&amp;IF(OR(C27="Unknown",C27=""),"READINESS UNKNOWN ","")&amp;IF(AND(C27="Pass",OR(J27="",Q27="")),"PASS WITHOUT DATED EVIDENCE ","")&amp;IF(AND(C27="Not applicable",U27=""),"NA REASON MISSING ","")&amp;IF(W27="Expired acceptance","EXPIRED EXCEPTION ","")&amp;IF(AND(ISNUMBER(Q27),IF(ISNUMBER(R27),R27,Q27+FreshDays)&lt;ReviewDate),"STALE READINESS EVIDENCE ",""))&amp;IF(AND(A27&lt;&gt;"",X27&lt;&gt;"",X27&lt;&gt;"Consumer accepted",X27&lt;&gt;"Authorised removal"),"LINKED DEPENDENCY UNRESOLVED ","")</f>
        <v/>
      </c>
      <c r="H27" s="11" t="str">
        <f t="shared" si="1"/>
        <v/>
      </c>
      <c r="I27" s="8"/>
      <c r="J27" s="8"/>
      <c r="K27" s="8"/>
      <c r="L27" s="8"/>
      <c r="M27" s="8"/>
      <c r="N27" s="8"/>
      <c r="O27" s="9"/>
      <c r="P27" s="8"/>
      <c r="Q27" s="9"/>
      <c r="R27" s="8"/>
      <c r="S27" s="8"/>
      <c r="T27" s="8"/>
      <c r="U27" s="8"/>
      <c r="V27" s="11" t="str">
        <f t="shared" si="2"/>
        <v/>
      </c>
      <c r="W27" s="11" t="str">
        <f t="shared" si="3"/>
        <v/>
      </c>
      <c r="X27" s="11" t="str">
        <f>IF(A27="","",IF(S27="","",IF(COUNTIF('05 - DEPENDENCIES'!$A$9:$A$58,S27)=0,"Unknown ID",IF(COUNTIF('05 - DEPENDENCIES'!$A$9:$A$58,S27)&gt;1,"Duplicate ID",INDEX('05 - DEPENDENCIES'!$AI$9:$AI$58,MATCH(S27,'05 - DEPENDENCIES'!$A$9:$A$58,0))))))</f>
        <v/>
      </c>
    </row>
    <row r="28" spans="1:24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IF(A28="","",IF(COUNTIF('08 - READINESS'!$A$9:$A$58,A28)&gt;1,"DUPLICATE ID ","")&amp;IF(ReviewDate="","SET REVIEW DATE ","")&amp;IF(V28="Yes","RELEASE BLOCKER ","")&amp;IF(OR(C28="Unknown",C28=""),"READINESS UNKNOWN ","")&amp;IF(AND(C28="Pass",OR(J28="",Q28="")),"PASS WITHOUT DATED EVIDENCE ","")&amp;IF(AND(C28="Not applicable",U28=""),"NA REASON MISSING ","")&amp;IF(W28="Expired acceptance","EXPIRED EXCEPTION ","")&amp;IF(AND(ISNUMBER(Q28),IF(ISNUMBER(R28),R28,Q28+FreshDays)&lt;ReviewDate),"STALE READINESS EVIDENCE ",""))&amp;IF(AND(A28&lt;&gt;"",X28&lt;&gt;"",X28&lt;&gt;"Consumer accepted",X28&lt;&gt;"Authorised removal"),"LINKED DEPENDENCY UNRESOLVED ","")</f>
        <v/>
      </c>
      <c r="H28" s="11" t="str">
        <f t="shared" si="1"/>
        <v/>
      </c>
      <c r="I28" s="8"/>
      <c r="J28" s="8"/>
      <c r="K28" s="8"/>
      <c r="L28" s="8"/>
      <c r="M28" s="8"/>
      <c r="N28" s="8"/>
      <c r="O28" s="9"/>
      <c r="P28" s="8"/>
      <c r="Q28" s="9"/>
      <c r="R28" s="8"/>
      <c r="S28" s="8"/>
      <c r="T28" s="8"/>
      <c r="U28" s="8"/>
      <c r="V28" s="11" t="str">
        <f t="shared" si="2"/>
        <v/>
      </c>
      <c r="W28" s="11" t="str">
        <f t="shared" si="3"/>
        <v/>
      </c>
      <c r="X28" s="11" t="str">
        <f>IF(A28="","",IF(S28="","",IF(COUNTIF('05 - DEPENDENCIES'!$A$9:$A$58,S28)=0,"Unknown ID",IF(COUNTIF('05 - DEPENDENCIES'!$A$9:$A$58,S28)&gt;1,"Duplicate ID",INDEX('05 - DEPENDENCIES'!$AI$9:$AI$58,MATCH(S28,'05 - DEPENDENCIES'!$A$9:$A$58,0))))))</f>
        <v/>
      </c>
    </row>
    <row r="29" spans="1:24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IF(A29="","",IF(COUNTIF('08 - READINESS'!$A$9:$A$58,A29)&gt;1,"DUPLICATE ID ","")&amp;IF(ReviewDate="","SET REVIEW DATE ","")&amp;IF(V29="Yes","RELEASE BLOCKER ","")&amp;IF(OR(C29="Unknown",C29=""),"READINESS UNKNOWN ","")&amp;IF(AND(C29="Pass",OR(J29="",Q29="")),"PASS WITHOUT DATED EVIDENCE ","")&amp;IF(AND(C29="Not applicable",U29=""),"NA REASON MISSING ","")&amp;IF(W29="Expired acceptance","EXPIRED EXCEPTION ","")&amp;IF(AND(ISNUMBER(Q29),IF(ISNUMBER(R29),R29,Q29+FreshDays)&lt;ReviewDate),"STALE READINESS EVIDENCE ",""))&amp;IF(AND(A29&lt;&gt;"",X29&lt;&gt;"",X29&lt;&gt;"Consumer accepted",X29&lt;&gt;"Authorised removal"),"LINKED DEPENDENCY UNRESOLVED ","")</f>
        <v/>
      </c>
      <c r="H29" s="11" t="str">
        <f t="shared" si="1"/>
        <v/>
      </c>
      <c r="I29" s="8"/>
      <c r="J29" s="8"/>
      <c r="K29" s="8"/>
      <c r="L29" s="8"/>
      <c r="M29" s="8"/>
      <c r="N29" s="8"/>
      <c r="O29" s="9"/>
      <c r="P29" s="8"/>
      <c r="Q29" s="9"/>
      <c r="R29" s="8"/>
      <c r="S29" s="8"/>
      <c r="T29" s="8"/>
      <c r="U29" s="8"/>
      <c r="V29" s="11" t="str">
        <f t="shared" si="2"/>
        <v/>
      </c>
      <c r="W29" s="11" t="str">
        <f t="shared" si="3"/>
        <v/>
      </c>
      <c r="X29" s="11" t="str">
        <f>IF(A29="","",IF(S29="","",IF(COUNTIF('05 - DEPENDENCIES'!$A$9:$A$58,S29)=0,"Unknown ID",IF(COUNTIF('05 - DEPENDENCIES'!$A$9:$A$58,S29)&gt;1,"Duplicate ID",INDEX('05 - DEPENDENCIES'!$AI$9:$AI$58,MATCH(S29,'05 - DEPENDENCIES'!$A$9:$A$58,0))))))</f>
        <v/>
      </c>
    </row>
    <row r="30" spans="1:24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IF(A30="","",IF(COUNTIF('08 - READINESS'!$A$9:$A$58,A30)&gt;1,"DUPLICATE ID ","")&amp;IF(ReviewDate="","SET REVIEW DATE ","")&amp;IF(V30="Yes","RELEASE BLOCKER ","")&amp;IF(OR(C30="Unknown",C30=""),"READINESS UNKNOWN ","")&amp;IF(AND(C30="Pass",OR(J30="",Q30="")),"PASS WITHOUT DATED EVIDENCE ","")&amp;IF(AND(C30="Not applicable",U30=""),"NA REASON MISSING ","")&amp;IF(W30="Expired acceptance","EXPIRED EXCEPTION ","")&amp;IF(AND(ISNUMBER(Q30),IF(ISNUMBER(R30),R30,Q30+FreshDays)&lt;ReviewDate),"STALE READINESS EVIDENCE ",""))&amp;IF(AND(A30&lt;&gt;"",X30&lt;&gt;"",X30&lt;&gt;"Consumer accepted",X30&lt;&gt;"Authorised removal"),"LINKED DEPENDENCY UNRESOLVED ","")</f>
        <v/>
      </c>
      <c r="H30" s="11" t="str">
        <f t="shared" si="1"/>
        <v/>
      </c>
      <c r="I30" s="8"/>
      <c r="J30" s="8"/>
      <c r="K30" s="8"/>
      <c r="L30" s="8"/>
      <c r="M30" s="8"/>
      <c r="N30" s="8"/>
      <c r="O30" s="9"/>
      <c r="P30" s="8"/>
      <c r="Q30" s="9"/>
      <c r="R30" s="8"/>
      <c r="S30" s="8"/>
      <c r="T30" s="8"/>
      <c r="U30" s="8"/>
      <c r="V30" s="11" t="str">
        <f t="shared" si="2"/>
        <v/>
      </c>
      <c r="W30" s="11" t="str">
        <f t="shared" si="3"/>
        <v/>
      </c>
      <c r="X30" s="11" t="str">
        <f>IF(A30="","",IF(S30="","",IF(COUNTIF('05 - DEPENDENCIES'!$A$9:$A$58,S30)=0,"Unknown ID",IF(COUNTIF('05 - DEPENDENCIES'!$A$9:$A$58,S30)&gt;1,"Duplicate ID",INDEX('05 - DEPENDENCIES'!$AI$9:$AI$58,MATCH(S30,'05 - DEPENDENCIES'!$A$9:$A$58,0))))))</f>
        <v/>
      </c>
    </row>
    <row r="31" spans="1:24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IF(A31="","",IF(COUNTIF('08 - READINESS'!$A$9:$A$58,A31)&gt;1,"DUPLICATE ID ","")&amp;IF(ReviewDate="","SET REVIEW DATE ","")&amp;IF(V31="Yes","RELEASE BLOCKER ","")&amp;IF(OR(C31="Unknown",C31=""),"READINESS UNKNOWN ","")&amp;IF(AND(C31="Pass",OR(J31="",Q31="")),"PASS WITHOUT DATED EVIDENCE ","")&amp;IF(AND(C31="Not applicable",U31=""),"NA REASON MISSING ","")&amp;IF(W31="Expired acceptance","EXPIRED EXCEPTION ","")&amp;IF(AND(ISNUMBER(Q31),IF(ISNUMBER(R31),R31,Q31+FreshDays)&lt;ReviewDate),"STALE READINESS EVIDENCE ",""))&amp;IF(AND(A31&lt;&gt;"",X31&lt;&gt;"",X31&lt;&gt;"Consumer accepted",X31&lt;&gt;"Authorised removal"),"LINKED DEPENDENCY UNRESOLVED ","")</f>
        <v/>
      </c>
      <c r="H31" s="11" t="str">
        <f t="shared" si="1"/>
        <v/>
      </c>
      <c r="I31" s="8"/>
      <c r="J31" s="8"/>
      <c r="K31" s="8"/>
      <c r="L31" s="8"/>
      <c r="M31" s="8"/>
      <c r="N31" s="8"/>
      <c r="O31" s="9"/>
      <c r="P31" s="8"/>
      <c r="Q31" s="9"/>
      <c r="R31" s="8"/>
      <c r="S31" s="8"/>
      <c r="T31" s="8"/>
      <c r="U31" s="8"/>
      <c r="V31" s="11" t="str">
        <f t="shared" si="2"/>
        <v/>
      </c>
      <c r="W31" s="11" t="str">
        <f t="shared" si="3"/>
        <v/>
      </c>
      <c r="X31" s="11" t="str">
        <f>IF(A31="","",IF(S31="","",IF(COUNTIF('05 - DEPENDENCIES'!$A$9:$A$58,S31)=0,"Unknown ID",IF(COUNTIF('05 - DEPENDENCIES'!$A$9:$A$58,S31)&gt;1,"Duplicate ID",INDEX('05 - DEPENDENCIES'!$AI$9:$AI$58,MATCH(S31,'05 - DEPENDENCIES'!$A$9:$A$58,0))))))</f>
        <v/>
      </c>
    </row>
    <row r="32" spans="1:24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IF(A32="","",IF(COUNTIF('08 - READINESS'!$A$9:$A$58,A32)&gt;1,"DUPLICATE ID ","")&amp;IF(ReviewDate="","SET REVIEW DATE ","")&amp;IF(V32="Yes","RELEASE BLOCKER ","")&amp;IF(OR(C32="Unknown",C32=""),"READINESS UNKNOWN ","")&amp;IF(AND(C32="Pass",OR(J32="",Q32="")),"PASS WITHOUT DATED EVIDENCE ","")&amp;IF(AND(C32="Not applicable",U32=""),"NA REASON MISSING ","")&amp;IF(W32="Expired acceptance","EXPIRED EXCEPTION ","")&amp;IF(AND(ISNUMBER(Q32),IF(ISNUMBER(R32),R32,Q32+FreshDays)&lt;ReviewDate),"STALE READINESS EVIDENCE ",""))&amp;IF(AND(A32&lt;&gt;"",X32&lt;&gt;"",X32&lt;&gt;"Consumer accepted",X32&lt;&gt;"Authorised removal"),"LINKED DEPENDENCY UNRESOLVED ","")</f>
        <v/>
      </c>
      <c r="H32" s="11" t="str">
        <f t="shared" si="1"/>
        <v/>
      </c>
      <c r="I32" s="8"/>
      <c r="J32" s="8"/>
      <c r="K32" s="8"/>
      <c r="L32" s="8"/>
      <c r="M32" s="8"/>
      <c r="N32" s="8"/>
      <c r="O32" s="9"/>
      <c r="P32" s="8"/>
      <c r="Q32" s="9"/>
      <c r="R32" s="8"/>
      <c r="S32" s="8"/>
      <c r="T32" s="8"/>
      <c r="U32" s="8"/>
      <c r="V32" s="11" t="str">
        <f t="shared" si="2"/>
        <v/>
      </c>
      <c r="W32" s="11" t="str">
        <f t="shared" si="3"/>
        <v/>
      </c>
      <c r="X32" s="11" t="str">
        <f>IF(A32="","",IF(S32="","",IF(COUNTIF('05 - DEPENDENCIES'!$A$9:$A$58,S32)=0,"Unknown ID",IF(COUNTIF('05 - DEPENDENCIES'!$A$9:$A$58,S32)&gt;1,"Duplicate ID",INDEX('05 - DEPENDENCIES'!$AI$9:$AI$58,MATCH(S32,'05 - DEPENDENCIES'!$A$9:$A$58,0))))))</f>
        <v/>
      </c>
    </row>
    <row r="33" spans="1:24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IF(A33="","",IF(COUNTIF('08 - READINESS'!$A$9:$A$58,A33)&gt;1,"DUPLICATE ID ","")&amp;IF(ReviewDate="","SET REVIEW DATE ","")&amp;IF(V33="Yes","RELEASE BLOCKER ","")&amp;IF(OR(C33="Unknown",C33=""),"READINESS UNKNOWN ","")&amp;IF(AND(C33="Pass",OR(J33="",Q33="")),"PASS WITHOUT DATED EVIDENCE ","")&amp;IF(AND(C33="Not applicable",U33=""),"NA REASON MISSING ","")&amp;IF(W33="Expired acceptance","EXPIRED EXCEPTION ","")&amp;IF(AND(ISNUMBER(Q33),IF(ISNUMBER(R33),R33,Q33+FreshDays)&lt;ReviewDate),"STALE READINESS EVIDENCE ",""))&amp;IF(AND(A33&lt;&gt;"",X33&lt;&gt;"",X33&lt;&gt;"Consumer accepted",X33&lt;&gt;"Authorised removal"),"LINKED DEPENDENCY UNRESOLVED ","")</f>
        <v/>
      </c>
      <c r="H33" s="11" t="str">
        <f t="shared" si="1"/>
        <v/>
      </c>
      <c r="I33" s="8"/>
      <c r="J33" s="8"/>
      <c r="K33" s="8"/>
      <c r="L33" s="8"/>
      <c r="M33" s="8"/>
      <c r="N33" s="8"/>
      <c r="O33" s="9"/>
      <c r="P33" s="8"/>
      <c r="Q33" s="9"/>
      <c r="R33" s="8"/>
      <c r="S33" s="8"/>
      <c r="T33" s="8"/>
      <c r="U33" s="8"/>
      <c r="V33" s="11" t="str">
        <f t="shared" si="2"/>
        <v/>
      </c>
      <c r="W33" s="11" t="str">
        <f t="shared" si="3"/>
        <v/>
      </c>
      <c r="X33" s="11" t="str">
        <f>IF(A33="","",IF(S33="","",IF(COUNTIF('05 - DEPENDENCIES'!$A$9:$A$58,S33)=0,"Unknown ID",IF(COUNTIF('05 - DEPENDENCIES'!$A$9:$A$58,S33)&gt;1,"Duplicate ID",INDEX('05 - DEPENDENCIES'!$AI$9:$AI$58,MATCH(S33,'05 - DEPENDENCIES'!$A$9:$A$58,0))))))</f>
        <v/>
      </c>
    </row>
    <row r="34" spans="1:24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IF(A34="","",IF(COUNTIF('08 - READINESS'!$A$9:$A$58,A34)&gt;1,"DUPLICATE ID ","")&amp;IF(ReviewDate="","SET REVIEW DATE ","")&amp;IF(V34="Yes","RELEASE BLOCKER ","")&amp;IF(OR(C34="Unknown",C34=""),"READINESS UNKNOWN ","")&amp;IF(AND(C34="Pass",OR(J34="",Q34="")),"PASS WITHOUT DATED EVIDENCE ","")&amp;IF(AND(C34="Not applicable",U34=""),"NA REASON MISSING ","")&amp;IF(W34="Expired acceptance","EXPIRED EXCEPTION ","")&amp;IF(AND(ISNUMBER(Q34),IF(ISNUMBER(R34),R34,Q34+FreshDays)&lt;ReviewDate),"STALE READINESS EVIDENCE ",""))&amp;IF(AND(A34&lt;&gt;"",X34&lt;&gt;"",X34&lt;&gt;"Consumer accepted",X34&lt;&gt;"Authorised removal"),"LINKED DEPENDENCY UNRESOLVED ","")</f>
        <v/>
      </c>
      <c r="H34" s="11" t="str">
        <f t="shared" si="1"/>
        <v/>
      </c>
      <c r="I34" s="8"/>
      <c r="J34" s="8"/>
      <c r="K34" s="8"/>
      <c r="L34" s="8"/>
      <c r="M34" s="8"/>
      <c r="N34" s="8"/>
      <c r="O34" s="9"/>
      <c r="P34" s="8"/>
      <c r="Q34" s="9"/>
      <c r="R34" s="8"/>
      <c r="S34" s="8"/>
      <c r="T34" s="8"/>
      <c r="U34" s="8"/>
      <c r="V34" s="11" t="str">
        <f t="shared" si="2"/>
        <v/>
      </c>
      <c r="W34" s="11" t="str">
        <f t="shared" si="3"/>
        <v/>
      </c>
      <c r="X34" s="11" t="str">
        <f>IF(A34="","",IF(S34="","",IF(COUNTIF('05 - DEPENDENCIES'!$A$9:$A$58,S34)=0,"Unknown ID",IF(COUNTIF('05 - DEPENDENCIES'!$A$9:$A$58,S34)&gt;1,"Duplicate ID",INDEX('05 - DEPENDENCIES'!$AI$9:$AI$58,MATCH(S34,'05 - DEPENDENCIES'!$A$9:$A$58,0))))))</f>
        <v/>
      </c>
    </row>
    <row r="35" spans="1:24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IF(A35="","",IF(COUNTIF('08 - READINESS'!$A$9:$A$58,A35)&gt;1,"DUPLICATE ID ","")&amp;IF(ReviewDate="","SET REVIEW DATE ","")&amp;IF(V35="Yes","RELEASE BLOCKER ","")&amp;IF(OR(C35="Unknown",C35=""),"READINESS UNKNOWN ","")&amp;IF(AND(C35="Pass",OR(J35="",Q35="")),"PASS WITHOUT DATED EVIDENCE ","")&amp;IF(AND(C35="Not applicable",U35=""),"NA REASON MISSING ","")&amp;IF(W35="Expired acceptance","EXPIRED EXCEPTION ","")&amp;IF(AND(ISNUMBER(Q35),IF(ISNUMBER(R35),R35,Q35+FreshDays)&lt;ReviewDate),"STALE READINESS EVIDENCE ",""))&amp;IF(AND(A35&lt;&gt;"",X35&lt;&gt;"",X35&lt;&gt;"Consumer accepted",X35&lt;&gt;"Authorised removal"),"LINKED DEPENDENCY UNRESOLVED ","")</f>
        <v/>
      </c>
      <c r="H35" s="11" t="str">
        <f t="shared" si="1"/>
        <v/>
      </c>
      <c r="I35" s="8"/>
      <c r="J35" s="8"/>
      <c r="K35" s="8"/>
      <c r="L35" s="8"/>
      <c r="M35" s="8"/>
      <c r="N35" s="8"/>
      <c r="O35" s="9"/>
      <c r="P35" s="8"/>
      <c r="Q35" s="9"/>
      <c r="R35" s="8"/>
      <c r="S35" s="8"/>
      <c r="T35" s="8"/>
      <c r="U35" s="8"/>
      <c r="V35" s="11" t="str">
        <f t="shared" si="2"/>
        <v/>
      </c>
      <c r="W35" s="11" t="str">
        <f t="shared" si="3"/>
        <v/>
      </c>
      <c r="X35" s="11" t="str">
        <f>IF(A35="","",IF(S35="","",IF(COUNTIF('05 - DEPENDENCIES'!$A$9:$A$58,S35)=0,"Unknown ID",IF(COUNTIF('05 - DEPENDENCIES'!$A$9:$A$58,S35)&gt;1,"Duplicate ID",INDEX('05 - DEPENDENCIES'!$AI$9:$AI$58,MATCH(S35,'05 - DEPENDENCIES'!$A$9:$A$58,0))))))</f>
        <v/>
      </c>
    </row>
    <row r="36" spans="1:24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IF(A36="","",IF(COUNTIF('08 - READINESS'!$A$9:$A$58,A36)&gt;1,"DUPLICATE ID ","")&amp;IF(ReviewDate="","SET REVIEW DATE ","")&amp;IF(V36="Yes","RELEASE BLOCKER ","")&amp;IF(OR(C36="Unknown",C36=""),"READINESS UNKNOWN ","")&amp;IF(AND(C36="Pass",OR(J36="",Q36="")),"PASS WITHOUT DATED EVIDENCE ","")&amp;IF(AND(C36="Not applicable",U36=""),"NA REASON MISSING ","")&amp;IF(W36="Expired acceptance","EXPIRED EXCEPTION ","")&amp;IF(AND(ISNUMBER(Q36),IF(ISNUMBER(R36),R36,Q36+FreshDays)&lt;ReviewDate),"STALE READINESS EVIDENCE ",""))&amp;IF(AND(A36&lt;&gt;"",X36&lt;&gt;"",X36&lt;&gt;"Consumer accepted",X36&lt;&gt;"Authorised removal"),"LINKED DEPENDENCY UNRESOLVED ","")</f>
        <v/>
      </c>
      <c r="H36" s="11" t="str">
        <f t="shared" si="1"/>
        <v/>
      </c>
      <c r="I36" s="8"/>
      <c r="J36" s="8"/>
      <c r="K36" s="8"/>
      <c r="L36" s="8"/>
      <c r="M36" s="8"/>
      <c r="N36" s="8"/>
      <c r="O36" s="9"/>
      <c r="P36" s="8"/>
      <c r="Q36" s="9"/>
      <c r="R36" s="8"/>
      <c r="S36" s="8"/>
      <c r="T36" s="8"/>
      <c r="U36" s="8"/>
      <c r="V36" s="11" t="str">
        <f t="shared" si="2"/>
        <v/>
      </c>
      <c r="W36" s="11" t="str">
        <f t="shared" si="3"/>
        <v/>
      </c>
      <c r="X36" s="11" t="str">
        <f>IF(A36="","",IF(S36="","",IF(COUNTIF('05 - DEPENDENCIES'!$A$9:$A$58,S36)=0,"Unknown ID",IF(COUNTIF('05 - DEPENDENCIES'!$A$9:$A$58,S36)&gt;1,"Duplicate ID",INDEX('05 - DEPENDENCIES'!$AI$9:$AI$58,MATCH(S36,'05 - DEPENDENCIES'!$A$9:$A$58,0))))))</f>
        <v/>
      </c>
    </row>
    <row r="37" spans="1:24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IF(A37="","",IF(COUNTIF('08 - READINESS'!$A$9:$A$58,A37)&gt;1,"DUPLICATE ID ","")&amp;IF(ReviewDate="","SET REVIEW DATE ","")&amp;IF(V37="Yes","RELEASE BLOCKER ","")&amp;IF(OR(C37="Unknown",C37=""),"READINESS UNKNOWN ","")&amp;IF(AND(C37="Pass",OR(J37="",Q37="")),"PASS WITHOUT DATED EVIDENCE ","")&amp;IF(AND(C37="Not applicable",U37=""),"NA REASON MISSING ","")&amp;IF(W37="Expired acceptance","EXPIRED EXCEPTION ","")&amp;IF(AND(ISNUMBER(Q37),IF(ISNUMBER(R37),R37,Q37+FreshDays)&lt;ReviewDate),"STALE READINESS EVIDENCE ",""))&amp;IF(AND(A37&lt;&gt;"",X37&lt;&gt;"",X37&lt;&gt;"Consumer accepted",X37&lt;&gt;"Authorised removal"),"LINKED DEPENDENCY UNRESOLVED ","")</f>
        <v/>
      </c>
      <c r="H37" s="11" t="str">
        <f t="shared" si="1"/>
        <v/>
      </c>
      <c r="I37" s="8"/>
      <c r="J37" s="8"/>
      <c r="K37" s="8"/>
      <c r="L37" s="8"/>
      <c r="M37" s="8"/>
      <c r="N37" s="8"/>
      <c r="O37" s="9"/>
      <c r="P37" s="8"/>
      <c r="Q37" s="9"/>
      <c r="R37" s="8"/>
      <c r="S37" s="8"/>
      <c r="T37" s="8"/>
      <c r="U37" s="8"/>
      <c r="V37" s="11" t="str">
        <f t="shared" si="2"/>
        <v/>
      </c>
      <c r="W37" s="11" t="str">
        <f t="shared" si="3"/>
        <v/>
      </c>
      <c r="X37" s="11" t="str">
        <f>IF(A37="","",IF(S37="","",IF(COUNTIF('05 - DEPENDENCIES'!$A$9:$A$58,S37)=0,"Unknown ID",IF(COUNTIF('05 - DEPENDENCIES'!$A$9:$A$58,S37)&gt;1,"Duplicate ID",INDEX('05 - DEPENDENCIES'!$AI$9:$AI$58,MATCH(S37,'05 - DEPENDENCIES'!$A$9:$A$58,0))))))</f>
        <v/>
      </c>
    </row>
    <row r="38" spans="1:24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IF(A38="","",IF(COUNTIF('08 - READINESS'!$A$9:$A$58,A38)&gt;1,"DUPLICATE ID ","")&amp;IF(ReviewDate="","SET REVIEW DATE ","")&amp;IF(V38="Yes","RELEASE BLOCKER ","")&amp;IF(OR(C38="Unknown",C38=""),"READINESS UNKNOWN ","")&amp;IF(AND(C38="Pass",OR(J38="",Q38="")),"PASS WITHOUT DATED EVIDENCE ","")&amp;IF(AND(C38="Not applicable",U38=""),"NA REASON MISSING ","")&amp;IF(W38="Expired acceptance","EXPIRED EXCEPTION ","")&amp;IF(AND(ISNUMBER(Q38),IF(ISNUMBER(R38),R38,Q38+FreshDays)&lt;ReviewDate),"STALE READINESS EVIDENCE ",""))&amp;IF(AND(A38&lt;&gt;"",X38&lt;&gt;"",X38&lt;&gt;"Consumer accepted",X38&lt;&gt;"Authorised removal"),"LINKED DEPENDENCY UNRESOLVED ","")</f>
        <v/>
      </c>
      <c r="H38" s="11" t="str">
        <f t="shared" si="1"/>
        <v/>
      </c>
      <c r="I38" s="8"/>
      <c r="J38" s="8"/>
      <c r="K38" s="8"/>
      <c r="L38" s="8"/>
      <c r="M38" s="8"/>
      <c r="N38" s="8"/>
      <c r="O38" s="9"/>
      <c r="P38" s="8"/>
      <c r="Q38" s="9"/>
      <c r="R38" s="8"/>
      <c r="S38" s="8"/>
      <c r="T38" s="8"/>
      <c r="U38" s="8"/>
      <c r="V38" s="11" t="str">
        <f t="shared" si="2"/>
        <v/>
      </c>
      <c r="W38" s="11" t="str">
        <f t="shared" si="3"/>
        <v/>
      </c>
      <c r="X38" s="11" t="str">
        <f>IF(A38="","",IF(S38="","",IF(COUNTIF('05 - DEPENDENCIES'!$A$9:$A$58,S38)=0,"Unknown ID",IF(COUNTIF('05 - DEPENDENCIES'!$A$9:$A$58,S38)&gt;1,"Duplicate ID",INDEX('05 - DEPENDENCIES'!$AI$9:$AI$58,MATCH(S38,'05 - DEPENDENCIES'!$A$9:$A$58,0))))))</f>
        <v/>
      </c>
    </row>
    <row r="39" spans="1:24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IF(A39="","",IF(COUNTIF('08 - READINESS'!$A$9:$A$58,A39)&gt;1,"DUPLICATE ID ","")&amp;IF(ReviewDate="","SET REVIEW DATE ","")&amp;IF(V39="Yes","RELEASE BLOCKER ","")&amp;IF(OR(C39="Unknown",C39=""),"READINESS UNKNOWN ","")&amp;IF(AND(C39="Pass",OR(J39="",Q39="")),"PASS WITHOUT DATED EVIDENCE ","")&amp;IF(AND(C39="Not applicable",U39=""),"NA REASON MISSING ","")&amp;IF(W39="Expired acceptance","EXPIRED EXCEPTION ","")&amp;IF(AND(ISNUMBER(Q39),IF(ISNUMBER(R39),R39,Q39+FreshDays)&lt;ReviewDate),"STALE READINESS EVIDENCE ",""))&amp;IF(AND(A39&lt;&gt;"",X39&lt;&gt;"",X39&lt;&gt;"Consumer accepted",X39&lt;&gt;"Authorised removal"),"LINKED DEPENDENCY UNRESOLVED ","")</f>
        <v/>
      </c>
      <c r="H39" s="11" t="str">
        <f t="shared" si="1"/>
        <v/>
      </c>
      <c r="I39" s="8"/>
      <c r="J39" s="8"/>
      <c r="K39" s="8"/>
      <c r="L39" s="8"/>
      <c r="M39" s="8"/>
      <c r="N39" s="8"/>
      <c r="O39" s="9"/>
      <c r="P39" s="8"/>
      <c r="Q39" s="9"/>
      <c r="R39" s="8"/>
      <c r="S39" s="8"/>
      <c r="T39" s="8"/>
      <c r="U39" s="8"/>
      <c r="V39" s="11" t="str">
        <f t="shared" si="2"/>
        <v/>
      </c>
      <c r="W39" s="11" t="str">
        <f t="shared" si="3"/>
        <v/>
      </c>
      <c r="X39" s="11" t="str">
        <f>IF(A39="","",IF(S39="","",IF(COUNTIF('05 - DEPENDENCIES'!$A$9:$A$58,S39)=0,"Unknown ID",IF(COUNTIF('05 - DEPENDENCIES'!$A$9:$A$58,S39)&gt;1,"Duplicate ID",INDEX('05 - DEPENDENCIES'!$AI$9:$AI$58,MATCH(S39,'05 - DEPENDENCIES'!$A$9:$A$58,0))))))</f>
        <v/>
      </c>
    </row>
    <row r="40" spans="1:24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IF(A40="","",IF(COUNTIF('08 - READINESS'!$A$9:$A$58,A40)&gt;1,"DUPLICATE ID ","")&amp;IF(ReviewDate="","SET REVIEW DATE ","")&amp;IF(V40="Yes","RELEASE BLOCKER ","")&amp;IF(OR(C40="Unknown",C40=""),"READINESS UNKNOWN ","")&amp;IF(AND(C40="Pass",OR(J40="",Q40="")),"PASS WITHOUT DATED EVIDENCE ","")&amp;IF(AND(C40="Not applicable",U40=""),"NA REASON MISSING ","")&amp;IF(W40="Expired acceptance","EXPIRED EXCEPTION ","")&amp;IF(AND(ISNUMBER(Q40),IF(ISNUMBER(R40),R40,Q40+FreshDays)&lt;ReviewDate),"STALE READINESS EVIDENCE ",""))&amp;IF(AND(A40&lt;&gt;"",X40&lt;&gt;"",X40&lt;&gt;"Consumer accepted",X40&lt;&gt;"Authorised removal"),"LINKED DEPENDENCY UNRESOLVED ","")</f>
        <v/>
      </c>
      <c r="H40" s="11" t="str">
        <f t="shared" si="1"/>
        <v/>
      </c>
      <c r="I40" s="8"/>
      <c r="J40" s="8"/>
      <c r="K40" s="8"/>
      <c r="L40" s="8"/>
      <c r="M40" s="8"/>
      <c r="N40" s="8"/>
      <c r="O40" s="9"/>
      <c r="P40" s="8"/>
      <c r="Q40" s="9"/>
      <c r="R40" s="8"/>
      <c r="S40" s="8"/>
      <c r="T40" s="8"/>
      <c r="U40" s="8"/>
      <c r="V40" s="11" t="str">
        <f t="shared" si="2"/>
        <v/>
      </c>
      <c r="W40" s="11" t="str">
        <f t="shared" si="3"/>
        <v/>
      </c>
      <c r="X40" s="11" t="str">
        <f>IF(A40="","",IF(S40="","",IF(COUNTIF('05 - DEPENDENCIES'!$A$9:$A$58,S40)=0,"Unknown ID",IF(COUNTIF('05 - DEPENDENCIES'!$A$9:$A$58,S40)&gt;1,"Duplicate ID",INDEX('05 - DEPENDENCIES'!$AI$9:$AI$58,MATCH(S40,'05 - DEPENDENCIES'!$A$9:$A$58,0))))))</f>
        <v/>
      </c>
    </row>
    <row r="41" spans="1:24" ht="60" customHeight="1">
      <c r="A41" s="8"/>
      <c r="B41" s="8"/>
      <c r="C41" s="8"/>
      <c r="D41" s="8"/>
      <c r="E41" s="9"/>
      <c r="F41" s="11" t="str">
        <f t="shared" ref="F41:F58" si="4">IF(A41="","",IF(V41="Yes","Critical",IF(G41&lt;&gt;"","Review","Routine")))</f>
        <v/>
      </c>
      <c r="G41" s="20" t="str">
        <f>IF(A41="","",IF(COUNTIF('08 - READINESS'!$A$9:$A$58,A41)&gt;1,"DUPLICATE ID ","")&amp;IF(ReviewDate="","SET REVIEW DATE ","")&amp;IF(V41="Yes","RELEASE BLOCKER ","")&amp;IF(OR(C41="Unknown",C41=""),"READINESS UNKNOWN ","")&amp;IF(AND(C41="Pass",OR(J41="",Q41="")),"PASS WITHOUT DATED EVIDENCE ","")&amp;IF(AND(C41="Not applicable",U41=""),"NA REASON MISSING ","")&amp;IF(W41="Expired acceptance","EXPIRED EXCEPTION ","")&amp;IF(AND(ISNUMBER(Q41),IF(ISNUMBER(R41),R41,Q41+FreshDays)&lt;ReviewDate),"STALE READINESS EVIDENCE ",""))&amp;IF(AND(A41&lt;&gt;"",X41&lt;&gt;"",X41&lt;&gt;"Consumer accepted",X41&lt;&gt;"Authorised removal"),"LINKED DEPENDENCY UNRESOLVED ","")</f>
        <v/>
      </c>
      <c r="H41" s="11" t="str">
        <f t="shared" ref="H41:H58" si="5">IF(A41="","",IF(V41="Yes","Hold release or obtain explicit authorised risk acceptance.",IF(G41&lt;&gt;"","Demonstrate the operator task and record current evidence.","")))</f>
        <v/>
      </c>
      <c r="I41" s="8"/>
      <c r="J41" s="8"/>
      <c r="K41" s="8"/>
      <c r="L41" s="8"/>
      <c r="M41" s="8"/>
      <c r="N41" s="8"/>
      <c r="O41" s="9"/>
      <c r="P41" s="8"/>
      <c r="Q41" s="9"/>
      <c r="R41" s="8"/>
      <c r="S41" s="8"/>
      <c r="T41" s="8"/>
      <c r="U41" s="8"/>
      <c r="V41" s="11" t="str">
        <f t="shared" ref="V41:V58" si="6">IF(A41="","",IF(AND(M41="Yes",NOT(AND(C41="Pass",J41&lt;&gt;"",ISNUMBER(Q41),IF(ISNUMBER(R41),R41,Q41+FreshDays)&gt;=ReviewDate,OR(X41="",X41="Consumer accepted",X41="Authorised removal")))),"Yes","No"))</f>
        <v/>
      </c>
      <c r="W41" s="11" t="str">
        <f t="shared" ref="W41:W58" si="7">IF(A41="","",IF(P41="","No acceptance recorded",IF(OR(N41="",O41=""),"Incomplete acceptance",IF(O41&lt;ReviewDate,"Expired acceptance","Recorded acceptance - verify scope"))))</f>
        <v/>
      </c>
      <c r="X41" s="11" t="str">
        <f>IF(A41="","",IF(S41="","",IF(COUNTIF('05 - DEPENDENCIES'!$A$9:$A$58,S41)=0,"Unknown ID",IF(COUNTIF('05 - DEPENDENCIES'!$A$9:$A$58,S41)&gt;1,"Duplicate ID",INDEX('05 - DEPENDENCIES'!$AI$9:$AI$58,MATCH(S41,'05 - DEPENDENCIES'!$A$9:$A$58,0))))))</f>
        <v/>
      </c>
    </row>
    <row r="42" spans="1:24" ht="60" customHeight="1">
      <c r="A42" s="8"/>
      <c r="B42" s="8"/>
      <c r="C42" s="8"/>
      <c r="D42" s="8"/>
      <c r="E42" s="9"/>
      <c r="F42" s="11" t="str">
        <f t="shared" si="4"/>
        <v/>
      </c>
      <c r="G42" s="20" t="str">
        <f>IF(A42="","",IF(COUNTIF('08 - READINESS'!$A$9:$A$58,A42)&gt;1,"DUPLICATE ID ","")&amp;IF(ReviewDate="","SET REVIEW DATE ","")&amp;IF(V42="Yes","RELEASE BLOCKER ","")&amp;IF(OR(C42="Unknown",C42=""),"READINESS UNKNOWN ","")&amp;IF(AND(C42="Pass",OR(J42="",Q42="")),"PASS WITHOUT DATED EVIDENCE ","")&amp;IF(AND(C42="Not applicable",U42=""),"NA REASON MISSING ","")&amp;IF(W42="Expired acceptance","EXPIRED EXCEPTION ","")&amp;IF(AND(ISNUMBER(Q42),IF(ISNUMBER(R42),R42,Q42+FreshDays)&lt;ReviewDate),"STALE READINESS EVIDENCE ",""))&amp;IF(AND(A42&lt;&gt;"",X42&lt;&gt;"",X42&lt;&gt;"Consumer accepted",X42&lt;&gt;"Authorised removal"),"LINKED DEPENDENCY UNRESOLVED ","")</f>
        <v/>
      </c>
      <c r="H42" s="11" t="str">
        <f t="shared" si="5"/>
        <v/>
      </c>
      <c r="I42" s="8"/>
      <c r="J42" s="8"/>
      <c r="K42" s="8"/>
      <c r="L42" s="8"/>
      <c r="M42" s="8"/>
      <c r="N42" s="8"/>
      <c r="O42" s="9"/>
      <c r="P42" s="8"/>
      <c r="Q42" s="9"/>
      <c r="R42" s="8"/>
      <c r="S42" s="8"/>
      <c r="T42" s="8"/>
      <c r="U42" s="8"/>
      <c r="V42" s="11" t="str">
        <f t="shared" si="6"/>
        <v/>
      </c>
      <c r="W42" s="11" t="str">
        <f t="shared" si="7"/>
        <v/>
      </c>
      <c r="X42" s="11" t="str">
        <f>IF(A42="","",IF(S42="","",IF(COUNTIF('05 - DEPENDENCIES'!$A$9:$A$58,S42)=0,"Unknown ID",IF(COUNTIF('05 - DEPENDENCIES'!$A$9:$A$58,S42)&gt;1,"Duplicate ID",INDEX('05 - DEPENDENCIES'!$AI$9:$AI$58,MATCH(S42,'05 - DEPENDENCIES'!$A$9:$A$58,0))))))</f>
        <v/>
      </c>
    </row>
    <row r="43" spans="1:24" ht="60" customHeight="1">
      <c r="A43" s="8"/>
      <c r="B43" s="8"/>
      <c r="C43" s="8"/>
      <c r="D43" s="8"/>
      <c r="E43" s="9"/>
      <c r="F43" s="11" t="str">
        <f t="shared" si="4"/>
        <v/>
      </c>
      <c r="G43" s="20" t="str">
        <f>IF(A43="","",IF(COUNTIF('08 - READINESS'!$A$9:$A$58,A43)&gt;1,"DUPLICATE ID ","")&amp;IF(ReviewDate="","SET REVIEW DATE ","")&amp;IF(V43="Yes","RELEASE BLOCKER ","")&amp;IF(OR(C43="Unknown",C43=""),"READINESS UNKNOWN ","")&amp;IF(AND(C43="Pass",OR(J43="",Q43="")),"PASS WITHOUT DATED EVIDENCE ","")&amp;IF(AND(C43="Not applicable",U43=""),"NA REASON MISSING ","")&amp;IF(W43="Expired acceptance","EXPIRED EXCEPTION ","")&amp;IF(AND(ISNUMBER(Q43),IF(ISNUMBER(R43),R43,Q43+FreshDays)&lt;ReviewDate),"STALE READINESS EVIDENCE ",""))&amp;IF(AND(A43&lt;&gt;"",X43&lt;&gt;"",X43&lt;&gt;"Consumer accepted",X43&lt;&gt;"Authorised removal"),"LINKED DEPENDENCY UNRESOLVED ","")</f>
        <v/>
      </c>
      <c r="H43" s="11" t="str">
        <f t="shared" si="5"/>
        <v/>
      </c>
      <c r="I43" s="8"/>
      <c r="J43" s="8"/>
      <c r="K43" s="8"/>
      <c r="L43" s="8"/>
      <c r="M43" s="8"/>
      <c r="N43" s="8"/>
      <c r="O43" s="9"/>
      <c r="P43" s="8"/>
      <c r="Q43" s="9"/>
      <c r="R43" s="8"/>
      <c r="S43" s="8"/>
      <c r="T43" s="8"/>
      <c r="U43" s="8"/>
      <c r="V43" s="11" t="str">
        <f t="shared" si="6"/>
        <v/>
      </c>
      <c r="W43" s="11" t="str">
        <f t="shared" si="7"/>
        <v/>
      </c>
      <c r="X43" s="11" t="str">
        <f>IF(A43="","",IF(S43="","",IF(COUNTIF('05 - DEPENDENCIES'!$A$9:$A$58,S43)=0,"Unknown ID",IF(COUNTIF('05 - DEPENDENCIES'!$A$9:$A$58,S43)&gt;1,"Duplicate ID",INDEX('05 - DEPENDENCIES'!$AI$9:$AI$58,MATCH(S43,'05 - DEPENDENCIES'!$A$9:$A$58,0))))))</f>
        <v/>
      </c>
    </row>
    <row r="44" spans="1:24" ht="60" customHeight="1">
      <c r="A44" s="8"/>
      <c r="B44" s="8"/>
      <c r="C44" s="8"/>
      <c r="D44" s="8"/>
      <c r="E44" s="9"/>
      <c r="F44" s="11" t="str">
        <f t="shared" si="4"/>
        <v/>
      </c>
      <c r="G44" s="20" t="str">
        <f>IF(A44="","",IF(COUNTIF('08 - READINESS'!$A$9:$A$58,A44)&gt;1,"DUPLICATE ID ","")&amp;IF(ReviewDate="","SET REVIEW DATE ","")&amp;IF(V44="Yes","RELEASE BLOCKER ","")&amp;IF(OR(C44="Unknown",C44=""),"READINESS UNKNOWN ","")&amp;IF(AND(C44="Pass",OR(J44="",Q44="")),"PASS WITHOUT DATED EVIDENCE ","")&amp;IF(AND(C44="Not applicable",U44=""),"NA REASON MISSING ","")&amp;IF(W44="Expired acceptance","EXPIRED EXCEPTION ","")&amp;IF(AND(ISNUMBER(Q44),IF(ISNUMBER(R44),R44,Q44+FreshDays)&lt;ReviewDate),"STALE READINESS EVIDENCE ",""))&amp;IF(AND(A44&lt;&gt;"",X44&lt;&gt;"",X44&lt;&gt;"Consumer accepted",X44&lt;&gt;"Authorised removal"),"LINKED DEPENDENCY UNRESOLVED ","")</f>
        <v/>
      </c>
      <c r="H44" s="11" t="str">
        <f t="shared" si="5"/>
        <v/>
      </c>
      <c r="I44" s="8"/>
      <c r="J44" s="8"/>
      <c r="K44" s="8"/>
      <c r="L44" s="8"/>
      <c r="M44" s="8"/>
      <c r="N44" s="8"/>
      <c r="O44" s="9"/>
      <c r="P44" s="8"/>
      <c r="Q44" s="9"/>
      <c r="R44" s="8"/>
      <c r="S44" s="8"/>
      <c r="T44" s="8"/>
      <c r="U44" s="8"/>
      <c r="V44" s="11" t="str">
        <f t="shared" si="6"/>
        <v/>
      </c>
      <c r="W44" s="11" t="str">
        <f t="shared" si="7"/>
        <v/>
      </c>
      <c r="X44" s="11" t="str">
        <f>IF(A44="","",IF(S44="","",IF(COUNTIF('05 - DEPENDENCIES'!$A$9:$A$58,S44)=0,"Unknown ID",IF(COUNTIF('05 - DEPENDENCIES'!$A$9:$A$58,S44)&gt;1,"Duplicate ID",INDEX('05 - DEPENDENCIES'!$AI$9:$AI$58,MATCH(S44,'05 - DEPENDENCIES'!$A$9:$A$58,0))))))</f>
        <v/>
      </c>
    </row>
    <row r="45" spans="1:24" ht="60" customHeight="1">
      <c r="A45" s="8"/>
      <c r="B45" s="8"/>
      <c r="C45" s="8"/>
      <c r="D45" s="8"/>
      <c r="E45" s="9"/>
      <c r="F45" s="11" t="str">
        <f t="shared" si="4"/>
        <v/>
      </c>
      <c r="G45" s="20" t="str">
        <f>IF(A45="","",IF(COUNTIF('08 - READINESS'!$A$9:$A$58,A45)&gt;1,"DUPLICATE ID ","")&amp;IF(ReviewDate="","SET REVIEW DATE ","")&amp;IF(V45="Yes","RELEASE BLOCKER ","")&amp;IF(OR(C45="Unknown",C45=""),"READINESS UNKNOWN ","")&amp;IF(AND(C45="Pass",OR(J45="",Q45="")),"PASS WITHOUT DATED EVIDENCE ","")&amp;IF(AND(C45="Not applicable",U45=""),"NA REASON MISSING ","")&amp;IF(W45="Expired acceptance","EXPIRED EXCEPTION ","")&amp;IF(AND(ISNUMBER(Q45),IF(ISNUMBER(R45),R45,Q45+FreshDays)&lt;ReviewDate),"STALE READINESS EVIDENCE ",""))&amp;IF(AND(A45&lt;&gt;"",X45&lt;&gt;"",X45&lt;&gt;"Consumer accepted",X45&lt;&gt;"Authorised removal"),"LINKED DEPENDENCY UNRESOLVED ","")</f>
        <v/>
      </c>
      <c r="H45" s="11" t="str">
        <f t="shared" si="5"/>
        <v/>
      </c>
      <c r="I45" s="8"/>
      <c r="J45" s="8"/>
      <c r="K45" s="8"/>
      <c r="L45" s="8"/>
      <c r="M45" s="8"/>
      <c r="N45" s="8"/>
      <c r="O45" s="9"/>
      <c r="P45" s="8"/>
      <c r="Q45" s="9"/>
      <c r="R45" s="8"/>
      <c r="S45" s="8"/>
      <c r="T45" s="8"/>
      <c r="U45" s="8"/>
      <c r="V45" s="11" t="str">
        <f t="shared" si="6"/>
        <v/>
      </c>
      <c r="W45" s="11" t="str">
        <f t="shared" si="7"/>
        <v/>
      </c>
      <c r="X45" s="11" t="str">
        <f>IF(A45="","",IF(S45="","",IF(COUNTIF('05 - DEPENDENCIES'!$A$9:$A$58,S45)=0,"Unknown ID",IF(COUNTIF('05 - DEPENDENCIES'!$A$9:$A$58,S45)&gt;1,"Duplicate ID",INDEX('05 - DEPENDENCIES'!$AI$9:$AI$58,MATCH(S45,'05 - DEPENDENCIES'!$A$9:$A$58,0))))))</f>
        <v/>
      </c>
    </row>
    <row r="46" spans="1:24" ht="60" customHeight="1">
      <c r="A46" s="8"/>
      <c r="B46" s="8"/>
      <c r="C46" s="8"/>
      <c r="D46" s="8"/>
      <c r="E46" s="9"/>
      <c r="F46" s="11" t="str">
        <f t="shared" si="4"/>
        <v/>
      </c>
      <c r="G46" s="20" t="str">
        <f>IF(A46="","",IF(COUNTIF('08 - READINESS'!$A$9:$A$58,A46)&gt;1,"DUPLICATE ID ","")&amp;IF(ReviewDate="","SET REVIEW DATE ","")&amp;IF(V46="Yes","RELEASE BLOCKER ","")&amp;IF(OR(C46="Unknown",C46=""),"READINESS UNKNOWN ","")&amp;IF(AND(C46="Pass",OR(J46="",Q46="")),"PASS WITHOUT DATED EVIDENCE ","")&amp;IF(AND(C46="Not applicable",U46=""),"NA REASON MISSING ","")&amp;IF(W46="Expired acceptance","EXPIRED EXCEPTION ","")&amp;IF(AND(ISNUMBER(Q46),IF(ISNUMBER(R46),R46,Q46+FreshDays)&lt;ReviewDate),"STALE READINESS EVIDENCE ",""))&amp;IF(AND(A46&lt;&gt;"",X46&lt;&gt;"",X46&lt;&gt;"Consumer accepted",X46&lt;&gt;"Authorised removal"),"LINKED DEPENDENCY UNRESOLVED ","")</f>
        <v/>
      </c>
      <c r="H46" s="11" t="str">
        <f t="shared" si="5"/>
        <v/>
      </c>
      <c r="I46" s="8"/>
      <c r="J46" s="8"/>
      <c r="K46" s="8"/>
      <c r="L46" s="8"/>
      <c r="M46" s="8"/>
      <c r="N46" s="8"/>
      <c r="O46" s="9"/>
      <c r="P46" s="8"/>
      <c r="Q46" s="9"/>
      <c r="R46" s="8"/>
      <c r="S46" s="8"/>
      <c r="T46" s="8"/>
      <c r="U46" s="8"/>
      <c r="V46" s="11" t="str">
        <f t="shared" si="6"/>
        <v/>
      </c>
      <c r="W46" s="11" t="str">
        <f t="shared" si="7"/>
        <v/>
      </c>
      <c r="X46" s="11" t="str">
        <f>IF(A46="","",IF(S46="","",IF(COUNTIF('05 - DEPENDENCIES'!$A$9:$A$58,S46)=0,"Unknown ID",IF(COUNTIF('05 - DEPENDENCIES'!$A$9:$A$58,S46)&gt;1,"Duplicate ID",INDEX('05 - DEPENDENCIES'!$AI$9:$AI$58,MATCH(S46,'05 - DEPENDENCIES'!$A$9:$A$58,0))))))</f>
        <v/>
      </c>
    </row>
    <row r="47" spans="1:24" ht="60" customHeight="1">
      <c r="A47" s="8"/>
      <c r="B47" s="8"/>
      <c r="C47" s="8"/>
      <c r="D47" s="8"/>
      <c r="E47" s="9"/>
      <c r="F47" s="11" t="str">
        <f t="shared" si="4"/>
        <v/>
      </c>
      <c r="G47" s="20" t="str">
        <f>IF(A47="","",IF(COUNTIF('08 - READINESS'!$A$9:$A$58,A47)&gt;1,"DUPLICATE ID ","")&amp;IF(ReviewDate="","SET REVIEW DATE ","")&amp;IF(V47="Yes","RELEASE BLOCKER ","")&amp;IF(OR(C47="Unknown",C47=""),"READINESS UNKNOWN ","")&amp;IF(AND(C47="Pass",OR(J47="",Q47="")),"PASS WITHOUT DATED EVIDENCE ","")&amp;IF(AND(C47="Not applicable",U47=""),"NA REASON MISSING ","")&amp;IF(W47="Expired acceptance","EXPIRED EXCEPTION ","")&amp;IF(AND(ISNUMBER(Q47),IF(ISNUMBER(R47),R47,Q47+FreshDays)&lt;ReviewDate),"STALE READINESS EVIDENCE ",""))&amp;IF(AND(A47&lt;&gt;"",X47&lt;&gt;"",X47&lt;&gt;"Consumer accepted",X47&lt;&gt;"Authorised removal"),"LINKED DEPENDENCY UNRESOLVED ","")</f>
        <v/>
      </c>
      <c r="H47" s="11" t="str">
        <f t="shared" si="5"/>
        <v/>
      </c>
      <c r="I47" s="8"/>
      <c r="J47" s="8"/>
      <c r="K47" s="8"/>
      <c r="L47" s="8"/>
      <c r="M47" s="8"/>
      <c r="N47" s="8"/>
      <c r="O47" s="9"/>
      <c r="P47" s="8"/>
      <c r="Q47" s="9"/>
      <c r="R47" s="8"/>
      <c r="S47" s="8"/>
      <c r="T47" s="8"/>
      <c r="U47" s="8"/>
      <c r="V47" s="11" t="str">
        <f t="shared" si="6"/>
        <v/>
      </c>
      <c r="W47" s="11" t="str">
        <f t="shared" si="7"/>
        <v/>
      </c>
      <c r="X47" s="11" t="str">
        <f>IF(A47="","",IF(S47="","",IF(COUNTIF('05 - DEPENDENCIES'!$A$9:$A$58,S47)=0,"Unknown ID",IF(COUNTIF('05 - DEPENDENCIES'!$A$9:$A$58,S47)&gt;1,"Duplicate ID",INDEX('05 - DEPENDENCIES'!$AI$9:$AI$58,MATCH(S47,'05 - DEPENDENCIES'!$A$9:$A$58,0))))))</f>
        <v/>
      </c>
    </row>
    <row r="48" spans="1:24" ht="60" customHeight="1">
      <c r="A48" s="8"/>
      <c r="B48" s="8"/>
      <c r="C48" s="8"/>
      <c r="D48" s="8"/>
      <c r="E48" s="9"/>
      <c r="F48" s="11" t="str">
        <f t="shared" si="4"/>
        <v/>
      </c>
      <c r="G48" s="20" t="str">
        <f>IF(A48="","",IF(COUNTIF('08 - READINESS'!$A$9:$A$58,A48)&gt;1,"DUPLICATE ID ","")&amp;IF(ReviewDate="","SET REVIEW DATE ","")&amp;IF(V48="Yes","RELEASE BLOCKER ","")&amp;IF(OR(C48="Unknown",C48=""),"READINESS UNKNOWN ","")&amp;IF(AND(C48="Pass",OR(J48="",Q48="")),"PASS WITHOUT DATED EVIDENCE ","")&amp;IF(AND(C48="Not applicable",U48=""),"NA REASON MISSING ","")&amp;IF(W48="Expired acceptance","EXPIRED EXCEPTION ","")&amp;IF(AND(ISNUMBER(Q48),IF(ISNUMBER(R48),R48,Q48+FreshDays)&lt;ReviewDate),"STALE READINESS EVIDENCE ",""))&amp;IF(AND(A48&lt;&gt;"",X48&lt;&gt;"",X48&lt;&gt;"Consumer accepted",X48&lt;&gt;"Authorised removal"),"LINKED DEPENDENCY UNRESOLVED ","")</f>
        <v/>
      </c>
      <c r="H48" s="11" t="str">
        <f t="shared" si="5"/>
        <v/>
      </c>
      <c r="I48" s="8"/>
      <c r="J48" s="8"/>
      <c r="K48" s="8"/>
      <c r="L48" s="8"/>
      <c r="M48" s="8"/>
      <c r="N48" s="8"/>
      <c r="O48" s="9"/>
      <c r="P48" s="8"/>
      <c r="Q48" s="9"/>
      <c r="R48" s="8"/>
      <c r="S48" s="8"/>
      <c r="T48" s="8"/>
      <c r="U48" s="8"/>
      <c r="V48" s="11" t="str">
        <f t="shared" si="6"/>
        <v/>
      </c>
      <c r="W48" s="11" t="str">
        <f t="shared" si="7"/>
        <v/>
      </c>
      <c r="X48" s="11" t="str">
        <f>IF(A48="","",IF(S48="","",IF(COUNTIF('05 - DEPENDENCIES'!$A$9:$A$58,S48)=0,"Unknown ID",IF(COUNTIF('05 - DEPENDENCIES'!$A$9:$A$58,S48)&gt;1,"Duplicate ID",INDEX('05 - DEPENDENCIES'!$AI$9:$AI$58,MATCH(S48,'05 - DEPENDENCIES'!$A$9:$A$58,0))))))</f>
        <v/>
      </c>
    </row>
    <row r="49" spans="1:24" ht="60" customHeight="1">
      <c r="A49" s="8"/>
      <c r="B49" s="8"/>
      <c r="C49" s="8"/>
      <c r="D49" s="8"/>
      <c r="E49" s="9"/>
      <c r="F49" s="11" t="str">
        <f t="shared" si="4"/>
        <v/>
      </c>
      <c r="G49" s="20" t="str">
        <f>IF(A49="","",IF(COUNTIF('08 - READINESS'!$A$9:$A$58,A49)&gt;1,"DUPLICATE ID ","")&amp;IF(ReviewDate="","SET REVIEW DATE ","")&amp;IF(V49="Yes","RELEASE BLOCKER ","")&amp;IF(OR(C49="Unknown",C49=""),"READINESS UNKNOWN ","")&amp;IF(AND(C49="Pass",OR(J49="",Q49="")),"PASS WITHOUT DATED EVIDENCE ","")&amp;IF(AND(C49="Not applicable",U49=""),"NA REASON MISSING ","")&amp;IF(W49="Expired acceptance","EXPIRED EXCEPTION ","")&amp;IF(AND(ISNUMBER(Q49),IF(ISNUMBER(R49),R49,Q49+FreshDays)&lt;ReviewDate),"STALE READINESS EVIDENCE ",""))&amp;IF(AND(A49&lt;&gt;"",X49&lt;&gt;"",X49&lt;&gt;"Consumer accepted",X49&lt;&gt;"Authorised removal"),"LINKED DEPENDENCY UNRESOLVED ","")</f>
        <v/>
      </c>
      <c r="H49" s="11" t="str">
        <f t="shared" si="5"/>
        <v/>
      </c>
      <c r="I49" s="8"/>
      <c r="J49" s="8"/>
      <c r="K49" s="8"/>
      <c r="L49" s="8"/>
      <c r="M49" s="8"/>
      <c r="N49" s="8"/>
      <c r="O49" s="9"/>
      <c r="P49" s="8"/>
      <c r="Q49" s="9"/>
      <c r="R49" s="8"/>
      <c r="S49" s="8"/>
      <c r="T49" s="8"/>
      <c r="U49" s="8"/>
      <c r="V49" s="11" t="str">
        <f t="shared" si="6"/>
        <v/>
      </c>
      <c r="W49" s="11" t="str">
        <f t="shared" si="7"/>
        <v/>
      </c>
      <c r="X49" s="11" t="str">
        <f>IF(A49="","",IF(S49="","",IF(COUNTIF('05 - DEPENDENCIES'!$A$9:$A$58,S49)=0,"Unknown ID",IF(COUNTIF('05 - DEPENDENCIES'!$A$9:$A$58,S49)&gt;1,"Duplicate ID",INDEX('05 - DEPENDENCIES'!$AI$9:$AI$58,MATCH(S49,'05 - DEPENDENCIES'!$A$9:$A$58,0))))))</f>
        <v/>
      </c>
    </row>
    <row r="50" spans="1:24" ht="60" customHeight="1">
      <c r="A50" s="8"/>
      <c r="B50" s="8"/>
      <c r="C50" s="8"/>
      <c r="D50" s="8"/>
      <c r="E50" s="9"/>
      <c r="F50" s="11" t="str">
        <f t="shared" si="4"/>
        <v/>
      </c>
      <c r="G50" s="20" t="str">
        <f>IF(A50="","",IF(COUNTIF('08 - READINESS'!$A$9:$A$58,A50)&gt;1,"DUPLICATE ID ","")&amp;IF(ReviewDate="","SET REVIEW DATE ","")&amp;IF(V50="Yes","RELEASE BLOCKER ","")&amp;IF(OR(C50="Unknown",C50=""),"READINESS UNKNOWN ","")&amp;IF(AND(C50="Pass",OR(J50="",Q50="")),"PASS WITHOUT DATED EVIDENCE ","")&amp;IF(AND(C50="Not applicable",U50=""),"NA REASON MISSING ","")&amp;IF(W50="Expired acceptance","EXPIRED EXCEPTION ","")&amp;IF(AND(ISNUMBER(Q50),IF(ISNUMBER(R50),R50,Q50+FreshDays)&lt;ReviewDate),"STALE READINESS EVIDENCE ",""))&amp;IF(AND(A50&lt;&gt;"",X50&lt;&gt;"",X50&lt;&gt;"Consumer accepted",X50&lt;&gt;"Authorised removal"),"LINKED DEPENDENCY UNRESOLVED ","")</f>
        <v/>
      </c>
      <c r="H50" s="11" t="str">
        <f t="shared" si="5"/>
        <v/>
      </c>
      <c r="I50" s="8"/>
      <c r="J50" s="8"/>
      <c r="K50" s="8"/>
      <c r="L50" s="8"/>
      <c r="M50" s="8"/>
      <c r="N50" s="8"/>
      <c r="O50" s="9"/>
      <c r="P50" s="8"/>
      <c r="Q50" s="9"/>
      <c r="R50" s="8"/>
      <c r="S50" s="8"/>
      <c r="T50" s="8"/>
      <c r="U50" s="8"/>
      <c r="V50" s="11" t="str">
        <f t="shared" si="6"/>
        <v/>
      </c>
      <c r="W50" s="11" t="str">
        <f t="shared" si="7"/>
        <v/>
      </c>
      <c r="X50" s="11" t="str">
        <f>IF(A50="","",IF(S50="","",IF(COUNTIF('05 - DEPENDENCIES'!$A$9:$A$58,S50)=0,"Unknown ID",IF(COUNTIF('05 - DEPENDENCIES'!$A$9:$A$58,S50)&gt;1,"Duplicate ID",INDEX('05 - DEPENDENCIES'!$AI$9:$AI$58,MATCH(S50,'05 - DEPENDENCIES'!$A$9:$A$58,0))))))</f>
        <v/>
      </c>
    </row>
    <row r="51" spans="1:24" ht="60" customHeight="1">
      <c r="A51" s="8"/>
      <c r="B51" s="8"/>
      <c r="C51" s="8"/>
      <c r="D51" s="8"/>
      <c r="E51" s="9"/>
      <c r="F51" s="11" t="str">
        <f t="shared" si="4"/>
        <v/>
      </c>
      <c r="G51" s="20" t="str">
        <f>IF(A51="","",IF(COUNTIF('08 - READINESS'!$A$9:$A$58,A51)&gt;1,"DUPLICATE ID ","")&amp;IF(ReviewDate="","SET REVIEW DATE ","")&amp;IF(V51="Yes","RELEASE BLOCKER ","")&amp;IF(OR(C51="Unknown",C51=""),"READINESS UNKNOWN ","")&amp;IF(AND(C51="Pass",OR(J51="",Q51="")),"PASS WITHOUT DATED EVIDENCE ","")&amp;IF(AND(C51="Not applicable",U51=""),"NA REASON MISSING ","")&amp;IF(W51="Expired acceptance","EXPIRED EXCEPTION ","")&amp;IF(AND(ISNUMBER(Q51),IF(ISNUMBER(R51),R51,Q51+FreshDays)&lt;ReviewDate),"STALE READINESS EVIDENCE ",""))&amp;IF(AND(A51&lt;&gt;"",X51&lt;&gt;"",X51&lt;&gt;"Consumer accepted",X51&lt;&gt;"Authorised removal"),"LINKED DEPENDENCY UNRESOLVED ","")</f>
        <v/>
      </c>
      <c r="H51" s="11" t="str">
        <f t="shared" si="5"/>
        <v/>
      </c>
      <c r="I51" s="8"/>
      <c r="J51" s="8"/>
      <c r="K51" s="8"/>
      <c r="L51" s="8"/>
      <c r="M51" s="8"/>
      <c r="N51" s="8"/>
      <c r="O51" s="9"/>
      <c r="P51" s="8"/>
      <c r="Q51" s="9"/>
      <c r="R51" s="8"/>
      <c r="S51" s="8"/>
      <c r="T51" s="8"/>
      <c r="U51" s="8"/>
      <c r="V51" s="11" t="str">
        <f t="shared" si="6"/>
        <v/>
      </c>
      <c r="W51" s="11" t="str">
        <f t="shared" si="7"/>
        <v/>
      </c>
      <c r="X51" s="11" t="str">
        <f>IF(A51="","",IF(S51="","",IF(COUNTIF('05 - DEPENDENCIES'!$A$9:$A$58,S51)=0,"Unknown ID",IF(COUNTIF('05 - DEPENDENCIES'!$A$9:$A$58,S51)&gt;1,"Duplicate ID",INDEX('05 - DEPENDENCIES'!$AI$9:$AI$58,MATCH(S51,'05 - DEPENDENCIES'!$A$9:$A$58,0))))))</f>
        <v/>
      </c>
    </row>
    <row r="52" spans="1:24" ht="60" customHeight="1">
      <c r="A52" s="8"/>
      <c r="B52" s="8"/>
      <c r="C52" s="8"/>
      <c r="D52" s="8"/>
      <c r="E52" s="9"/>
      <c r="F52" s="11" t="str">
        <f t="shared" si="4"/>
        <v/>
      </c>
      <c r="G52" s="20" t="str">
        <f>IF(A52="","",IF(COUNTIF('08 - READINESS'!$A$9:$A$58,A52)&gt;1,"DUPLICATE ID ","")&amp;IF(ReviewDate="","SET REVIEW DATE ","")&amp;IF(V52="Yes","RELEASE BLOCKER ","")&amp;IF(OR(C52="Unknown",C52=""),"READINESS UNKNOWN ","")&amp;IF(AND(C52="Pass",OR(J52="",Q52="")),"PASS WITHOUT DATED EVIDENCE ","")&amp;IF(AND(C52="Not applicable",U52=""),"NA REASON MISSING ","")&amp;IF(W52="Expired acceptance","EXPIRED EXCEPTION ","")&amp;IF(AND(ISNUMBER(Q52),IF(ISNUMBER(R52),R52,Q52+FreshDays)&lt;ReviewDate),"STALE READINESS EVIDENCE ",""))&amp;IF(AND(A52&lt;&gt;"",X52&lt;&gt;"",X52&lt;&gt;"Consumer accepted",X52&lt;&gt;"Authorised removal"),"LINKED DEPENDENCY UNRESOLVED ","")</f>
        <v/>
      </c>
      <c r="H52" s="11" t="str">
        <f t="shared" si="5"/>
        <v/>
      </c>
      <c r="I52" s="8"/>
      <c r="J52" s="8"/>
      <c r="K52" s="8"/>
      <c r="L52" s="8"/>
      <c r="M52" s="8"/>
      <c r="N52" s="8"/>
      <c r="O52" s="9"/>
      <c r="P52" s="8"/>
      <c r="Q52" s="9"/>
      <c r="R52" s="8"/>
      <c r="S52" s="8"/>
      <c r="T52" s="8"/>
      <c r="U52" s="8"/>
      <c r="V52" s="11" t="str">
        <f t="shared" si="6"/>
        <v/>
      </c>
      <c r="W52" s="11" t="str">
        <f t="shared" si="7"/>
        <v/>
      </c>
      <c r="X52" s="11" t="str">
        <f>IF(A52="","",IF(S52="","",IF(COUNTIF('05 - DEPENDENCIES'!$A$9:$A$58,S52)=0,"Unknown ID",IF(COUNTIF('05 - DEPENDENCIES'!$A$9:$A$58,S52)&gt;1,"Duplicate ID",INDEX('05 - DEPENDENCIES'!$AI$9:$AI$58,MATCH(S52,'05 - DEPENDENCIES'!$A$9:$A$58,0))))))</f>
        <v/>
      </c>
    </row>
    <row r="53" spans="1:24" ht="60" customHeight="1">
      <c r="A53" s="8"/>
      <c r="B53" s="8"/>
      <c r="C53" s="8"/>
      <c r="D53" s="8"/>
      <c r="E53" s="9"/>
      <c r="F53" s="11" t="str">
        <f t="shared" si="4"/>
        <v/>
      </c>
      <c r="G53" s="20" t="str">
        <f>IF(A53="","",IF(COUNTIF('08 - READINESS'!$A$9:$A$58,A53)&gt;1,"DUPLICATE ID ","")&amp;IF(ReviewDate="","SET REVIEW DATE ","")&amp;IF(V53="Yes","RELEASE BLOCKER ","")&amp;IF(OR(C53="Unknown",C53=""),"READINESS UNKNOWN ","")&amp;IF(AND(C53="Pass",OR(J53="",Q53="")),"PASS WITHOUT DATED EVIDENCE ","")&amp;IF(AND(C53="Not applicable",U53=""),"NA REASON MISSING ","")&amp;IF(W53="Expired acceptance","EXPIRED EXCEPTION ","")&amp;IF(AND(ISNUMBER(Q53),IF(ISNUMBER(R53),R53,Q53+FreshDays)&lt;ReviewDate),"STALE READINESS EVIDENCE ",""))&amp;IF(AND(A53&lt;&gt;"",X53&lt;&gt;"",X53&lt;&gt;"Consumer accepted",X53&lt;&gt;"Authorised removal"),"LINKED DEPENDENCY UNRESOLVED ","")</f>
        <v/>
      </c>
      <c r="H53" s="11" t="str">
        <f t="shared" si="5"/>
        <v/>
      </c>
      <c r="I53" s="8"/>
      <c r="J53" s="8"/>
      <c r="K53" s="8"/>
      <c r="L53" s="8"/>
      <c r="M53" s="8"/>
      <c r="N53" s="8"/>
      <c r="O53" s="9"/>
      <c r="P53" s="8"/>
      <c r="Q53" s="9"/>
      <c r="R53" s="8"/>
      <c r="S53" s="8"/>
      <c r="T53" s="8"/>
      <c r="U53" s="8"/>
      <c r="V53" s="11" t="str">
        <f t="shared" si="6"/>
        <v/>
      </c>
      <c r="W53" s="11" t="str">
        <f t="shared" si="7"/>
        <v/>
      </c>
      <c r="X53" s="11" t="str">
        <f>IF(A53="","",IF(S53="","",IF(COUNTIF('05 - DEPENDENCIES'!$A$9:$A$58,S53)=0,"Unknown ID",IF(COUNTIF('05 - DEPENDENCIES'!$A$9:$A$58,S53)&gt;1,"Duplicate ID",INDEX('05 - DEPENDENCIES'!$AI$9:$AI$58,MATCH(S53,'05 - DEPENDENCIES'!$A$9:$A$58,0))))))</f>
        <v/>
      </c>
    </row>
    <row r="54" spans="1:24" ht="60" customHeight="1">
      <c r="A54" s="8"/>
      <c r="B54" s="8"/>
      <c r="C54" s="8"/>
      <c r="D54" s="8"/>
      <c r="E54" s="9"/>
      <c r="F54" s="11" t="str">
        <f t="shared" si="4"/>
        <v/>
      </c>
      <c r="G54" s="20" t="str">
        <f>IF(A54="","",IF(COUNTIF('08 - READINESS'!$A$9:$A$58,A54)&gt;1,"DUPLICATE ID ","")&amp;IF(ReviewDate="","SET REVIEW DATE ","")&amp;IF(V54="Yes","RELEASE BLOCKER ","")&amp;IF(OR(C54="Unknown",C54=""),"READINESS UNKNOWN ","")&amp;IF(AND(C54="Pass",OR(J54="",Q54="")),"PASS WITHOUT DATED EVIDENCE ","")&amp;IF(AND(C54="Not applicable",U54=""),"NA REASON MISSING ","")&amp;IF(W54="Expired acceptance","EXPIRED EXCEPTION ","")&amp;IF(AND(ISNUMBER(Q54),IF(ISNUMBER(R54),R54,Q54+FreshDays)&lt;ReviewDate),"STALE READINESS EVIDENCE ",""))&amp;IF(AND(A54&lt;&gt;"",X54&lt;&gt;"",X54&lt;&gt;"Consumer accepted",X54&lt;&gt;"Authorised removal"),"LINKED DEPENDENCY UNRESOLVED ","")</f>
        <v/>
      </c>
      <c r="H54" s="11" t="str">
        <f t="shared" si="5"/>
        <v/>
      </c>
      <c r="I54" s="8"/>
      <c r="J54" s="8"/>
      <c r="K54" s="8"/>
      <c r="L54" s="8"/>
      <c r="M54" s="8"/>
      <c r="N54" s="8"/>
      <c r="O54" s="9"/>
      <c r="P54" s="8"/>
      <c r="Q54" s="9"/>
      <c r="R54" s="8"/>
      <c r="S54" s="8"/>
      <c r="T54" s="8"/>
      <c r="U54" s="8"/>
      <c r="V54" s="11" t="str">
        <f t="shared" si="6"/>
        <v/>
      </c>
      <c r="W54" s="11" t="str">
        <f t="shared" si="7"/>
        <v/>
      </c>
      <c r="X54" s="11" t="str">
        <f>IF(A54="","",IF(S54="","",IF(COUNTIF('05 - DEPENDENCIES'!$A$9:$A$58,S54)=0,"Unknown ID",IF(COUNTIF('05 - DEPENDENCIES'!$A$9:$A$58,S54)&gt;1,"Duplicate ID",INDEX('05 - DEPENDENCIES'!$AI$9:$AI$58,MATCH(S54,'05 - DEPENDENCIES'!$A$9:$A$58,0))))))</f>
        <v/>
      </c>
    </row>
    <row r="55" spans="1:24" ht="60" customHeight="1">
      <c r="A55" s="8"/>
      <c r="B55" s="8"/>
      <c r="C55" s="8"/>
      <c r="D55" s="8"/>
      <c r="E55" s="9"/>
      <c r="F55" s="11" t="str">
        <f t="shared" si="4"/>
        <v/>
      </c>
      <c r="G55" s="20" t="str">
        <f>IF(A55="","",IF(COUNTIF('08 - READINESS'!$A$9:$A$58,A55)&gt;1,"DUPLICATE ID ","")&amp;IF(ReviewDate="","SET REVIEW DATE ","")&amp;IF(V55="Yes","RELEASE BLOCKER ","")&amp;IF(OR(C55="Unknown",C55=""),"READINESS UNKNOWN ","")&amp;IF(AND(C55="Pass",OR(J55="",Q55="")),"PASS WITHOUT DATED EVIDENCE ","")&amp;IF(AND(C55="Not applicable",U55=""),"NA REASON MISSING ","")&amp;IF(W55="Expired acceptance","EXPIRED EXCEPTION ","")&amp;IF(AND(ISNUMBER(Q55),IF(ISNUMBER(R55),R55,Q55+FreshDays)&lt;ReviewDate),"STALE READINESS EVIDENCE ",""))&amp;IF(AND(A55&lt;&gt;"",X55&lt;&gt;"",X55&lt;&gt;"Consumer accepted",X55&lt;&gt;"Authorised removal"),"LINKED DEPENDENCY UNRESOLVED ","")</f>
        <v/>
      </c>
      <c r="H55" s="11" t="str">
        <f t="shared" si="5"/>
        <v/>
      </c>
      <c r="I55" s="8"/>
      <c r="J55" s="8"/>
      <c r="K55" s="8"/>
      <c r="L55" s="8"/>
      <c r="M55" s="8"/>
      <c r="N55" s="8"/>
      <c r="O55" s="9"/>
      <c r="P55" s="8"/>
      <c r="Q55" s="9"/>
      <c r="R55" s="8"/>
      <c r="S55" s="8"/>
      <c r="T55" s="8"/>
      <c r="U55" s="8"/>
      <c r="V55" s="11" t="str">
        <f t="shared" si="6"/>
        <v/>
      </c>
      <c r="W55" s="11" t="str">
        <f t="shared" si="7"/>
        <v/>
      </c>
      <c r="X55" s="11" t="str">
        <f>IF(A55="","",IF(S55="","",IF(COUNTIF('05 - DEPENDENCIES'!$A$9:$A$58,S55)=0,"Unknown ID",IF(COUNTIF('05 - DEPENDENCIES'!$A$9:$A$58,S55)&gt;1,"Duplicate ID",INDEX('05 - DEPENDENCIES'!$AI$9:$AI$58,MATCH(S55,'05 - DEPENDENCIES'!$A$9:$A$58,0))))))</f>
        <v/>
      </c>
    </row>
    <row r="56" spans="1:24" ht="60" customHeight="1">
      <c r="A56" s="8"/>
      <c r="B56" s="8"/>
      <c r="C56" s="8"/>
      <c r="D56" s="8"/>
      <c r="E56" s="9"/>
      <c r="F56" s="11" t="str">
        <f t="shared" si="4"/>
        <v/>
      </c>
      <c r="G56" s="20" t="str">
        <f>IF(A56="","",IF(COUNTIF('08 - READINESS'!$A$9:$A$58,A56)&gt;1,"DUPLICATE ID ","")&amp;IF(ReviewDate="","SET REVIEW DATE ","")&amp;IF(V56="Yes","RELEASE BLOCKER ","")&amp;IF(OR(C56="Unknown",C56=""),"READINESS UNKNOWN ","")&amp;IF(AND(C56="Pass",OR(J56="",Q56="")),"PASS WITHOUT DATED EVIDENCE ","")&amp;IF(AND(C56="Not applicable",U56=""),"NA REASON MISSING ","")&amp;IF(W56="Expired acceptance","EXPIRED EXCEPTION ","")&amp;IF(AND(ISNUMBER(Q56),IF(ISNUMBER(R56),R56,Q56+FreshDays)&lt;ReviewDate),"STALE READINESS EVIDENCE ",""))&amp;IF(AND(A56&lt;&gt;"",X56&lt;&gt;"",X56&lt;&gt;"Consumer accepted",X56&lt;&gt;"Authorised removal"),"LINKED DEPENDENCY UNRESOLVED ","")</f>
        <v/>
      </c>
      <c r="H56" s="11" t="str">
        <f t="shared" si="5"/>
        <v/>
      </c>
      <c r="I56" s="8"/>
      <c r="J56" s="8"/>
      <c r="K56" s="8"/>
      <c r="L56" s="8"/>
      <c r="M56" s="8"/>
      <c r="N56" s="8"/>
      <c r="O56" s="9"/>
      <c r="P56" s="8"/>
      <c r="Q56" s="9"/>
      <c r="R56" s="8"/>
      <c r="S56" s="8"/>
      <c r="T56" s="8"/>
      <c r="U56" s="8"/>
      <c r="V56" s="11" t="str">
        <f t="shared" si="6"/>
        <v/>
      </c>
      <c r="W56" s="11" t="str">
        <f t="shared" si="7"/>
        <v/>
      </c>
      <c r="X56" s="11" t="str">
        <f>IF(A56="","",IF(S56="","",IF(COUNTIF('05 - DEPENDENCIES'!$A$9:$A$58,S56)=0,"Unknown ID",IF(COUNTIF('05 - DEPENDENCIES'!$A$9:$A$58,S56)&gt;1,"Duplicate ID",INDEX('05 - DEPENDENCIES'!$AI$9:$AI$58,MATCH(S56,'05 - DEPENDENCIES'!$A$9:$A$58,0))))))</f>
        <v/>
      </c>
    </row>
    <row r="57" spans="1:24" ht="60" customHeight="1">
      <c r="A57" s="8"/>
      <c r="B57" s="8"/>
      <c r="C57" s="8"/>
      <c r="D57" s="8"/>
      <c r="E57" s="9"/>
      <c r="F57" s="11" t="str">
        <f t="shared" si="4"/>
        <v/>
      </c>
      <c r="G57" s="20" t="str">
        <f>IF(A57="","",IF(COUNTIF('08 - READINESS'!$A$9:$A$58,A57)&gt;1,"DUPLICATE ID ","")&amp;IF(ReviewDate="","SET REVIEW DATE ","")&amp;IF(V57="Yes","RELEASE BLOCKER ","")&amp;IF(OR(C57="Unknown",C57=""),"READINESS UNKNOWN ","")&amp;IF(AND(C57="Pass",OR(J57="",Q57="")),"PASS WITHOUT DATED EVIDENCE ","")&amp;IF(AND(C57="Not applicable",U57=""),"NA REASON MISSING ","")&amp;IF(W57="Expired acceptance","EXPIRED EXCEPTION ","")&amp;IF(AND(ISNUMBER(Q57),IF(ISNUMBER(R57),R57,Q57+FreshDays)&lt;ReviewDate),"STALE READINESS EVIDENCE ",""))&amp;IF(AND(A57&lt;&gt;"",X57&lt;&gt;"",X57&lt;&gt;"Consumer accepted",X57&lt;&gt;"Authorised removal"),"LINKED DEPENDENCY UNRESOLVED ","")</f>
        <v/>
      </c>
      <c r="H57" s="11" t="str">
        <f t="shared" si="5"/>
        <v/>
      </c>
      <c r="I57" s="8"/>
      <c r="J57" s="8"/>
      <c r="K57" s="8"/>
      <c r="L57" s="8"/>
      <c r="M57" s="8"/>
      <c r="N57" s="8"/>
      <c r="O57" s="9"/>
      <c r="P57" s="8"/>
      <c r="Q57" s="9"/>
      <c r="R57" s="8"/>
      <c r="S57" s="8"/>
      <c r="T57" s="8"/>
      <c r="U57" s="8"/>
      <c r="V57" s="11" t="str">
        <f t="shared" si="6"/>
        <v/>
      </c>
      <c r="W57" s="11" t="str">
        <f t="shared" si="7"/>
        <v/>
      </c>
      <c r="X57" s="11" t="str">
        <f>IF(A57="","",IF(S57="","",IF(COUNTIF('05 - DEPENDENCIES'!$A$9:$A$58,S57)=0,"Unknown ID",IF(COUNTIF('05 - DEPENDENCIES'!$A$9:$A$58,S57)&gt;1,"Duplicate ID",INDEX('05 - DEPENDENCIES'!$AI$9:$AI$58,MATCH(S57,'05 - DEPENDENCIES'!$A$9:$A$58,0))))))</f>
        <v/>
      </c>
    </row>
    <row r="58" spans="1:24" ht="60" customHeight="1">
      <c r="A58" s="8"/>
      <c r="B58" s="8"/>
      <c r="C58" s="8"/>
      <c r="D58" s="8"/>
      <c r="E58" s="9"/>
      <c r="F58" s="11" t="str">
        <f t="shared" si="4"/>
        <v/>
      </c>
      <c r="G58" s="20" t="str">
        <f>IF(A58="","",IF(COUNTIF('08 - READINESS'!$A$9:$A$58,A58)&gt;1,"DUPLICATE ID ","")&amp;IF(ReviewDate="","SET REVIEW DATE ","")&amp;IF(V58="Yes","RELEASE BLOCKER ","")&amp;IF(OR(C58="Unknown",C58=""),"READINESS UNKNOWN ","")&amp;IF(AND(C58="Pass",OR(J58="",Q58="")),"PASS WITHOUT DATED EVIDENCE ","")&amp;IF(AND(C58="Not applicable",U58=""),"NA REASON MISSING ","")&amp;IF(W58="Expired acceptance","EXPIRED EXCEPTION ","")&amp;IF(AND(ISNUMBER(Q58),IF(ISNUMBER(R58),R58,Q58+FreshDays)&lt;ReviewDate),"STALE READINESS EVIDENCE ",""))&amp;IF(AND(A58&lt;&gt;"",X58&lt;&gt;"",X58&lt;&gt;"Consumer accepted",X58&lt;&gt;"Authorised removal"),"LINKED DEPENDENCY UNRESOLVED ","")</f>
        <v/>
      </c>
      <c r="H58" s="11" t="str">
        <f t="shared" si="5"/>
        <v/>
      </c>
      <c r="I58" s="8"/>
      <c r="J58" s="8"/>
      <c r="K58" s="8"/>
      <c r="L58" s="8"/>
      <c r="M58" s="8"/>
      <c r="N58" s="8"/>
      <c r="O58" s="9"/>
      <c r="P58" s="8"/>
      <c r="Q58" s="9"/>
      <c r="R58" s="8"/>
      <c r="S58" s="8"/>
      <c r="T58" s="8"/>
      <c r="U58" s="8"/>
      <c r="V58" s="11" t="str">
        <f t="shared" si="6"/>
        <v/>
      </c>
      <c r="W58" s="11" t="str">
        <f t="shared" si="7"/>
        <v/>
      </c>
      <c r="X58" s="11" t="str">
        <f>IF(A58="","",IF(S58="","",IF(COUNTIF('05 - DEPENDENCIES'!$A$9:$A$58,S58)=0,"Unknown ID",IF(COUNTIF('05 - DEPENDENCIES'!$A$9:$A$58,S58)&gt;1,"Duplicate ID",INDEX('05 - DEPENDENCIES'!$AI$9:$AI$58,MATCH(S58,'05 - DEPENDENCIES'!$A$9:$A$58,0))))))</f>
        <v/>
      </c>
    </row>
    <row r="59" spans="1:24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</sheetData>
  <mergeCells count="2">
    <mergeCell ref="A4:J4"/>
    <mergeCell ref="C6:J6"/>
  </mergeCells>
  <conditionalFormatting sqref="F9:F58">
    <cfRule type="containsText" dxfId="7" priority="2" operator="containsText" text="Critical"/>
  </conditionalFormatting>
  <conditionalFormatting sqref="G9:G58">
    <cfRule type="containsText" dxfId="6" priority="1" operator="containsText" text="MISSING"/>
  </conditionalFormatting>
  <dataValidations count="5">
    <dataValidation type="list" sqref="C9:C58" xr:uid="{00000000-0002-0000-0800-000000000000}">
      <formula1>ReadyStatus</formula1>
    </dataValidation>
    <dataValidation type="list" sqref="L9:L58" xr:uid="{00000000-0002-0000-0800-000001000000}">
      <formula1>Criticality</formula1>
    </dataValidation>
    <dataValidation type="list" sqref="M9:M58" xr:uid="{00000000-0002-0000-0800-000002000000}">
      <formula1>YesNo</formula1>
    </dataValidation>
    <dataValidation type="list" sqref="S9:S58" xr:uid="{00000000-0002-0000-0800-000003000000}">
      <formula1>DependencyIDs</formula1>
    </dataValidation>
    <dataValidation type="list" sqref="T9:T58" xr:uid="{00000000-0002-0000-0800-000004000000}">
      <formula1>DecisionIDs</formula1>
    </dataValidation>
  </dataValidations>
  <hyperlinks>
    <hyperlink ref="A6" location="'00 - START HERE'!A1" display="Start here" xr:uid="{00000000-0004-0000-08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87C78"/>
  </sheetPr>
  <dimension ref="A1:AH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34" width="20" customWidth="1"/>
  </cols>
  <sheetData>
    <row r="1" spans="1:34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2.1" customHeight="1">
      <c r="A2" s="2" t="s">
        <v>401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33.950000000000003" customHeight="1">
      <c r="A4" s="21" t="s">
        <v>402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"&amp;SUMPRODUCT(--('09 - ADOPTION &amp; BENEFITS'!$A$9:$A$58=""),--('09 - ADOPTION &amp; BENEFITS'!$B$9:$B$58&lt;&gt;""))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33.950000000000003" customHeight="1">
      <c r="A8" s="5" t="s">
        <v>131</v>
      </c>
      <c r="B8" s="5" t="s">
        <v>403</v>
      </c>
      <c r="C8" s="5" t="s">
        <v>191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121</v>
      </c>
      <c r="K8" s="5" t="s">
        <v>62</v>
      </c>
      <c r="L8" s="5" t="s">
        <v>404</v>
      </c>
      <c r="M8" s="5" t="s">
        <v>405</v>
      </c>
      <c r="N8" s="5" t="s">
        <v>406</v>
      </c>
      <c r="O8" s="5" t="s">
        <v>407</v>
      </c>
      <c r="P8" s="5" t="s">
        <v>408</v>
      </c>
      <c r="Q8" s="5" t="s">
        <v>409</v>
      </c>
      <c r="R8" s="5" t="s">
        <v>410</v>
      </c>
      <c r="S8" s="5" t="s">
        <v>411</v>
      </c>
      <c r="T8" s="5" t="s">
        <v>412</v>
      </c>
      <c r="U8" s="5" t="s">
        <v>413</v>
      </c>
      <c r="V8" s="5" t="s">
        <v>414</v>
      </c>
      <c r="W8" s="5" t="s">
        <v>415</v>
      </c>
      <c r="X8" s="5" t="s">
        <v>416</v>
      </c>
      <c r="Y8" s="5" t="s">
        <v>417</v>
      </c>
      <c r="Z8" s="5" t="s">
        <v>418</v>
      </c>
      <c r="AA8" s="5" t="s">
        <v>133</v>
      </c>
      <c r="AB8" s="5" t="s">
        <v>419</v>
      </c>
      <c r="AC8" s="5" t="s">
        <v>204</v>
      </c>
      <c r="AD8" s="5" t="s">
        <v>420</v>
      </c>
      <c r="AE8" s="5" t="s">
        <v>421</v>
      </c>
      <c r="AF8" s="5" t="s">
        <v>422</v>
      </c>
      <c r="AG8" s="5" t="s">
        <v>423</v>
      </c>
      <c r="AH8" s="5" t="s">
        <v>424</v>
      </c>
    </row>
    <row r="9" spans="1:34" ht="39.6" customHeight="1">
      <c r="A9" s="8" t="s">
        <v>425</v>
      </c>
      <c r="B9" s="8" t="s">
        <v>426</v>
      </c>
      <c r="C9" s="8" t="s">
        <v>265</v>
      </c>
      <c r="D9" s="8" t="s">
        <v>64</v>
      </c>
      <c r="E9" s="9">
        <v>46294</v>
      </c>
      <c r="F9" s="11" t="str">
        <f t="shared" ref="F9:F40" si="0">IF(A9="","",IF(FALSE,"Critical",IF(G9&lt;&gt;"","Review","Routine")))</f>
        <v>Review</v>
      </c>
      <c r="G9" s="20" t="str">
        <f>IF(A9="","",IF(COUNTIF('09 - ADOPTION &amp; BENEFITS'!$A$9:$A$58,A9)&gt;1,"DUPLICATE ID ","")&amp;IF(ReviewDate="","SET REVIEW DATE ","")&amp;IF(OR(O9="",O9&lt;=0),"DENOMINATOR MISSING OR ZERO ","")&amp;IF(AND(ISNUMBER(P9),ISNUMBER(O9),OR(P9&lt;0,P9&gt;O9)),"INVALID NUMERATOR ","")&amp;IF(R9="","NO BASELINE ","")&amp;IF(AND(S9&lt;&gt;"",OR(AD9="",AND(ISNUMBER(AE9),AE9&lt;AD9))),"TARGET BEFORE BASELINE ","")&amp;IF(K9="","OUTCOME OWNER MISSING ","")&amp;IF(AB9&lt;&gt;"Yes","HANDOVER NOT RECORDED ","")&amp;IF(AND(AF9="Improving",AG9="Flat"),"ADOPTION UP OUTCOME FLAT ","")&amp;IF(AND(AG9="Improving",Z9=""),"ATTRIBUTION UNCERTAIN ","")&amp;IF(AND(ISNUMBER(AH9),AH9&lt;ObservationDays),"OBSERVATION WINDOW INCOMPLETE ",""))</f>
        <v xml:space="preserve">DENOMINATOR MISSING OR ZERO NO BASELINE HANDOVER NOT RECORDED </v>
      </c>
      <c r="H9" s="11" t="str">
        <f t="shared" ref="H9:H40" si="1">IF(A9="","",IF(OR(O9="",O9&lt;=0),"Define eligible cohort before reporting adoption percentage.",IF(AA9&lt;&gt;"",AA9,"Review outcome evidence, ownership and alternative explanations.")))</f>
        <v>Define eligible cohort before reporting adoption percentage.</v>
      </c>
      <c r="I9" s="8" t="s">
        <v>427</v>
      </c>
      <c r="J9" s="8" t="s">
        <v>428</v>
      </c>
      <c r="K9" s="8" t="s">
        <v>63</v>
      </c>
      <c r="L9" s="8" t="s">
        <v>179</v>
      </c>
      <c r="M9" s="8" t="s">
        <v>429</v>
      </c>
      <c r="N9" s="8" t="s">
        <v>430</v>
      </c>
      <c r="O9" s="8"/>
      <c r="P9" s="8"/>
      <c r="Q9" s="13" t="str">
        <f t="shared" ref="Q9:Q40" si="2">IF(A9="","",IF(AND(ISNUMBER(O9),O9&gt;0,ISNUMBER(P9),P9&gt;=0,P9&lt;=O9),P9/O9,""))</f>
        <v/>
      </c>
      <c r="R9" s="8"/>
      <c r="S9" s="8"/>
      <c r="T9" s="9"/>
      <c r="U9" s="8"/>
      <c r="V9" s="8" t="s">
        <v>431</v>
      </c>
      <c r="W9" s="8" t="s">
        <v>432</v>
      </c>
      <c r="X9" s="8" t="s">
        <v>433</v>
      </c>
      <c r="Y9" s="8" t="s">
        <v>434</v>
      </c>
      <c r="Z9" s="8" t="s">
        <v>435</v>
      </c>
      <c r="AA9" s="8" t="s">
        <v>436</v>
      </c>
      <c r="AB9" s="8" t="s">
        <v>275</v>
      </c>
      <c r="AC9" s="9">
        <v>46295</v>
      </c>
      <c r="AD9" s="9"/>
      <c r="AE9" s="9"/>
      <c r="AF9" s="8" t="s">
        <v>172</v>
      </c>
      <c r="AG9" s="8" t="s">
        <v>172</v>
      </c>
      <c r="AH9" s="11" t="str">
        <f t="shared" ref="AH9:AH40" si="3">IF(A9="","",IF(ISNUMBER(T9),MAX(0,IF(ISNUMBER(U9),U9,ReviewDate)-T9),""))</f>
        <v/>
      </c>
    </row>
    <row r="10" spans="1:34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IF(A10="","",IF(COUNTIF('09 - ADOPTION &amp; BENEFITS'!$A$9:$A$58,A10)&gt;1,"DUPLICATE ID ","")&amp;IF(ReviewDate="","SET REVIEW DATE ","")&amp;IF(OR(O10="",O10&lt;=0),"DENOMINATOR MISSING OR ZERO ","")&amp;IF(AND(ISNUMBER(P10),ISNUMBER(O10),OR(P10&lt;0,P10&gt;O10)),"INVALID NUMERATOR ","")&amp;IF(R10="","NO BASELINE ","")&amp;IF(AND(S10&lt;&gt;"",OR(AD10="",AND(ISNUMBER(AE10),AE10&lt;AD10))),"TARGET BEFORE BASELINE ","")&amp;IF(K10="","OUTCOME OWNER MISSING ","")&amp;IF(AB10&lt;&gt;"Yes","HANDOVER NOT RECORDED ","")&amp;IF(AND(AF10="Improving",AG10="Flat"),"ADOPTION UP OUTCOME FLAT ","")&amp;IF(AND(AG10="Improving",Z10=""),"ATTRIBUTION UNCERTAIN ","")&amp;IF(AND(ISNUMBER(AH10),AH10&lt;ObservationDays),"OBSERVATION WINDOW INCOMPLETE ",""))</f>
        <v/>
      </c>
      <c r="H10" s="11" t="str">
        <f t="shared" si="1"/>
        <v/>
      </c>
      <c r="I10" s="8"/>
      <c r="J10" s="8"/>
      <c r="K10" s="8"/>
      <c r="L10" s="8"/>
      <c r="M10" s="8"/>
      <c r="N10" s="8"/>
      <c r="O10" s="8"/>
      <c r="P10" s="8"/>
      <c r="Q10" s="13" t="str">
        <f t="shared" si="2"/>
        <v/>
      </c>
      <c r="R10" s="8"/>
      <c r="S10" s="8"/>
      <c r="T10" s="9"/>
      <c r="U10" s="8"/>
      <c r="V10" s="8"/>
      <c r="W10" s="8"/>
      <c r="X10" s="8"/>
      <c r="Y10" s="8"/>
      <c r="Z10" s="8"/>
      <c r="AA10" s="8"/>
      <c r="AB10" s="8"/>
      <c r="AC10" s="9"/>
      <c r="AD10" s="9"/>
      <c r="AE10" s="9"/>
      <c r="AF10" s="8"/>
      <c r="AG10" s="8"/>
      <c r="AH10" s="11" t="str">
        <f t="shared" si="3"/>
        <v/>
      </c>
    </row>
    <row r="11" spans="1:34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IF(A11="","",IF(COUNTIF('09 - ADOPTION &amp; BENEFITS'!$A$9:$A$58,A11)&gt;1,"DUPLICATE ID ","")&amp;IF(ReviewDate="","SET REVIEW DATE ","")&amp;IF(OR(O11="",O11&lt;=0),"DENOMINATOR MISSING OR ZERO ","")&amp;IF(AND(ISNUMBER(P11),ISNUMBER(O11),OR(P11&lt;0,P11&gt;O11)),"INVALID NUMERATOR ","")&amp;IF(R11="","NO BASELINE ","")&amp;IF(AND(S11&lt;&gt;"",OR(AD11="",AND(ISNUMBER(AE11),AE11&lt;AD11))),"TARGET BEFORE BASELINE ","")&amp;IF(K11="","OUTCOME OWNER MISSING ","")&amp;IF(AB11&lt;&gt;"Yes","HANDOVER NOT RECORDED ","")&amp;IF(AND(AF11="Improving",AG11="Flat"),"ADOPTION UP OUTCOME FLAT ","")&amp;IF(AND(AG11="Improving",Z11=""),"ATTRIBUTION UNCERTAIN ","")&amp;IF(AND(ISNUMBER(AH11),AH11&lt;ObservationDays),"OBSERVATION WINDOW INCOMPLETE ",""))</f>
        <v/>
      </c>
      <c r="H11" s="11" t="str">
        <f t="shared" si="1"/>
        <v/>
      </c>
      <c r="I11" s="8"/>
      <c r="J11" s="8"/>
      <c r="K11" s="8"/>
      <c r="L11" s="8"/>
      <c r="M11" s="8"/>
      <c r="N11" s="8"/>
      <c r="O11" s="8"/>
      <c r="P11" s="8"/>
      <c r="Q11" s="13" t="str">
        <f t="shared" si="2"/>
        <v/>
      </c>
      <c r="R11" s="8"/>
      <c r="S11" s="8"/>
      <c r="T11" s="9"/>
      <c r="U11" s="8"/>
      <c r="V11" s="8"/>
      <c r="W11" s="8"/>
      <c r="X11" s="8"/>
      <c r="Y11" s="8"/>
      <c r="Z11" s="8"/>
      <c r="AA11" s="8"/>
      <c r="AB11" s="8"/>
      <c r="AC11" s="9"/>
      <c r="AD11" s="9"/>
      <c r="AE11" s="9"/>
      <c r="AF11" s="8"/>
      <c r="AG11" s="8"/>
      <c r="AH11" s="11" t="str">
        <f t="shared" si="3"/>
        <v/>
      </c>
    </row>
    <row r="12" spans="1:34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IF(A12="","",IF(COUNTIF('09 - ADOPTION &amp; BENEFITS'!$A$9:$A$58,A12)&gt;1,"DUPLICATE ID ","")&amp;IF(ReviewDate="","SET REVIEW DATE ","")&amp;IF(OR(O12="",O12&lt;=0),"DENOMINATOR MISSING OR ZERO ","")&amp;IF(AND(ISNUMBER(P12),ISNUMBER(O12),OR(P12&lt;0,P12&gt;O12)),"INVALID NUMERATOR ","")&amp;IF(R12="","NO BASELINE ","")&amp;IF(AND(S12&lt;&gt;"",OR(AD12="",AND(ISNUMBER(AE12),AE12&lt;AD12))),"TARGET BEFORE BASELINE ","")&amp;IF(K12="","OUTCOME OWNER MISSING ","")&amp;IF(AB12&lt;&gt;"Yes","HANDOVER NOT RECORDED ","")&amp;IF(AND(AF12="Improving",AG12="Flat"),"ADOPTION UP OUTCOME FLAT ","")&amp;IF(AND(AG12="Improving",Z12=""),"ATTRIBUTION UNCERTAIN ","")&amp;IF(AND(ISNUMBER(AH12),AH12&lt;ObservationDays),"OBSERVATION WINDOW INCOMPLETE ",""))</f>
        <v/>
      </c>
      <c r="H12" s="11" t="str">
        <f t="shared" si="1"/>
        <v/>
      </c>
      <c r="I12" s="8"/>
      <c r="J12" s="8"/>
      <c r="K12" s="8"/>
      <c r="L12" s="8"/>
      <c r="M12" s="8"/>
      <c r="N12" s="8"/>
      <c r="O12" s="8"/>
      <c r="P12" s="8"/>
      <c r="Q12" s="13" t="str">
        <f t="shared" si="2"/>
        <v/>
      </c>
      <c r="R12" s="8"/>
      <c r="S12" s="8"/>
      <c r="T12" s="9"/>
      <c r="U12" s="8"/>
      <c r="V12" s="8"/>
      <c r="W12" s="8"/>
      <c r="X12" s="8"/>
      <c r="Y12" s="8"/>
      <c r="Z12" s="8"/>
      <c r="AA12" s="8"/>
      <c r="AB12" s="8"/>
      <c r="AC12" s="9"/>
      <c r="AD12" s="9"/>
      <c r="AE12" s="9"/>
      <c r="AF12" s="8"/>
      <c r="AG12" s="8"/>
      <c r="AH12" s="11" t="str">
        <f t="shared" si="3"/>
        <v/>
      </c>
    </row>
    <row r="13" spans="1:34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IF(A13="","",IF(COUNTIF('09 - ADOPTION &amp; BENEFITS'!$A$9:$A$58,A13)&gt;1,"DUPLICATE ID ","")&amp;IF(ReviewDate="","SET REVIEW DATE ","")&amp;IF(OR(O13="",O13&lt;=0),"DENOMINATOR MISSING OR ZERO ","")&amp;IF(AND(ISNUMBER(P13),ISNUMBER(O13),OR(P13&lt;0,P13&gt;O13)),"INVALID NUMERATOR ","")&amp;IF(R13="","NO BASELINE ","")&amp;IF(AND(S13&lt;&gt;"",OR(AD13="",AND(ISNUMBER(AE13),AE13&lt;AD13))),"TARGET BEFORE BASELINE ","")&amp;IF(K13="","OUTCOME OWNER MISSING ","")&amp;IF(AB13&lt;&gt;"Yes","HANDOVER NOT RECORDED ","")&amp;IF(AND(AF13="Improving",AG13="Flat"),"ADOPTION UP OUTCOME FLAT ","")&amp;IF(AND(AG13="Improving",Z13=""),"ATTRIBUTION UNCERTAIN ","")&amp;IF(AND(ISNUMBER(AH13),AH13&lt;ObservationDays),"OBSERVATION WINDOW INCOMPLETE ",""))</f>
        <v/>
      </c>
      <c r="H13" s="11" t="str">
        <f t="shared" si="1"/>
        <v/>
      </c>
      <c r="I13" s="8"/>
      <c r="J13" s="8"/>
      <c r="K13" s="8"/>
      <c r="L13" s="8"/>
      <c r="M13" s="8"/>
      <c r="N13" s="8"/>
      <c r="O13" s="8"/>
      <c r="P13" s="8"/>
      <c r="Q13" s="13" t="str">
        <f t="shared" si="2"/>
        <v/>
      </c>
      <c r="R13" s="8"/>
      <c r="S13" s="8"/>
      <c r="T13" s="9"/>
      <c r="U13" s="8"/>
      <c r="V13" s="8"/>
      <c r="W13" s="8"/>
      <c r="X13" s="8"/>
      <c r="Y13" s="8"/>
      <c r="Z13" s="8"/>
      <c r="AA13" s="8"/>
      <c r="AB13" s="8"/>
      <c r="AC13" s="9"/>
      <c r="AD13" s="9"/>
      <c r="AE13" s="9"/>
      <c r="AF13" s="8"/>
      <c r="AG13" s="8"/>
      <c r="AH13" s="11" t="str">
        <f t="shared" si="3"/>
        <v/>
      </c>
    </row>
    <row r="14" spans="1:34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IF(A14="","",IF(COUNTIF('09 - ADOPTION &amp; BENEFITS'!$A$9:$A$58,A14)&gt;1,"DUPLICATE ID ","")&amp;IF(ReviewDate="","SET REVIEW DATE ","")&amp;IF(OR(O14="",O14&lt;=0),"DENOMINATOR MISSING OR ZERO ","")&amp;IF(AND(ISNUMBER(P14),ISNUMBER(O14),OR(P14&lt;0,P14&gt;O14)),"INVALID NUMERATOR ","")&amp;IF(R14="","NO BASELINE ","")&amp;IF(AND(S14&lt;&gt;"",OR(AD14="",AND(ISNUMBER(AE14),AE14&lt;AD14))),"TARGET BEFORE BASELINE ","")&amp;IF(K14="","OUTCOME OWNER MISSING ","")&amp;IF(AB14&lt;&gt;"Yes","HANDOVER NOT RECORDED ","")&amp;IF(AND(AF14="Improving",AG14="Flat"),"ADOPTION UP OUTCOME FLAT ","")&amp;IF(AND(AG14="Improving",Z14=""),"ATTRIBUTION UNCERTAIN ","")&amp;IF(AND(ISNUMBER(AH14),AH14&lt;ObservationDays),"OBSERVATION WINDOW INCOMPLETE ",""))</f>
        <v/>
      </c>
      <c r="H14" s="11" t="str">
        <f t="shared" si="1"/>
        <v/>
      </c>
      <c r="I14" s="8"/>
      <c r="J14" s="8"/>
      <c r="K14" s="8"/>
      <c r="L14" s="8"/>
      <c r="M14" s="8"/>
      <c r="N14" s="8"/>
      <c r="O14" s="8"/>
      <c r="P14" s="8"/>
      <c r="Q14" s="13" t="str">
        <f t="shared" si="2"/>
        <v/>
      </c>
      <c r="R14" s="8"/>
      <c r="S14" s="8"/>
      <c r="T14" s="9"/>
      <c r="U14" s="8"/>
      <c r="V14" s="8"/>
      <c r="W14" s="8"/>
      <c r="X14" s="8"/>
      <c r="Y14" s="8"/>
      <c r="Z14" s="8"/>
      <c r="AA14" s="8"/>
      <c r="AB14" s="8"/>
      <c r="AC14" s="9"/>
      <c r="AD14" s="9"/>
      <c r="AE14" s="9"/>
      <c r="AF14" s="8"/>
      <c r="AG14" s="8"/>
      <c r="AH14" s="11" t="str">
        <f t="shared" si="3"/>
        <v/>
      </c>
    </row>
    <row r="15" spans="1:34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IF(A15="","",IF(COUNTIF('09 - ADOPTION &amp; BENEFITS'!$A$9:$A$58,A15)&gt;1,"DUPLICATE ID ","")&amp;IF(ReviewDate="","SET REVIEW DATE ","")&amp;IF(OR(O15="",O15&lt;=0),"DENOMINATOR MISSING OR ZERO ","")&amp;IF(AND(ISNUMBER(P15),ISNUMBER(O15),OR(P15&lt;0,P15&gt;O15)),"INVALID NUMERATOR ","")&amp;IF(R15="","NO BASELINE ","")&amp;IF(AND(S15&lt;&gt;"",OR(AD15="",AND(ISNUMBER(AE15),AE15&lt;AD15))),"TARGET BEFORE BASELINE ","")&amp;IF(K15="","OUTCOME OWNER MISSING ","")&amp;IF(AB15&lt;&gt;"Yes","HANDOVER NOT RECORDED ","")&amp;IF(AND(AF15="Improving",AG15="Flat"),"ADOPTION UP OUTCOME FLAT ","")&amp;IF(AND(AG15="Improving",Z15=""),"ATTRIBUTION UNCERTAIN ","")&amp;IF(AND(ISNUMBER(AH15),AH15&lt;ObservationDays),"OBSERVATION WINDOW INCOMPLETE ",""))</f>
        <v/>
      </c>
      <c r="H15" s="11" t="str">
        <f t="shared" si="1"/>
        <v/>
      </c>
      <c r="I15" s="8"/>
      <c r="J15" s="8"/>
      <c r="K15" s="8"/>
      <c r="L15" s="8"/>
      <c r="M15" s="8"/>
      <c r="N15" s="8"/>
      <c r="O15" s="8"/>
      <c r="P15" s="8"/>
      <c r="Q15" s="13" t="str">
        <f t="shared" si="2"/>
        <v/>
      </c>
      <c r="R15" s="8"/>
      <c r="S15" s="8"/>
      <c r="T15" s="9"/>
      <c r="U15" s="8"/>
      <c r="V15" s="8"/>
      <c r="W15" s="8"/>
      <c r="X15" s="8"/>
      <c r="Y15" s="8"/>
      <c r="Z15" s="8"/>
      <c r="AA15" s="8"/>
      <c r="AB15" s="8"/>
      <c r="AC15" s="9"/>
      <c r="AD15" s="9"/>
      <c r="AE15" s="9"/>
      <c r="AF15" s="8"/>
      <c r="AG15" s="8"/>
      <c r="AH15" s="11" t="str">
        <f t="shared" si="3"/>
        <v/>
      </c>
    </row>
    <row r="16" spans="1:34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IF(A16="","",IF(COUNTIF('09 - ADOPTION &amp; BENEFITS'!$A$9:$A$58,A16)&gt;1,"DUPLICATE ID ","")&amp;IF(ReviewDate="","SET REVIEW DATE ","")&amp;IF(OR(O16="",O16&lt;=0),"DENOMINATOR MISSING OR ZERO ","")&amp;IF(AND(ISNUMBER(P16),ISNUMBER(O16),OR(P16&lt;0,P16&gt;O16)),"INVALID NUMERATOR ","")&amp;IF(R16="","NO BASELINE ","")&amp;IF(AND(S16&lt;&gt;"",OR(AD16="",AND(ISNUMBER(AE16),AE16&lt;AD16))),"TARGET BEFORE BASELINE ","")&amp;IF(K16="","OUTCOME OWNER MISSING ","")&amp;IF(AB16&lt;&gt;"Yes","HANDOVER NOT RECORDED ","")&amp;IF(AND(AF16="Improving",AG16="Flat"),"ADOPTION UP OUTCOME FLAT ","")&amp;IF(AND(AG16="Improving",Z16=""),"ATTRIBUTION UNCERTAIN ","")&amp;IF(AND(ISNUMBER(AH16),AH16&lt;ObservationDays),"OBSERVATION WINDOW INCOMPLETE ",""))</f>
        <v/>
      </c>
      <c r="H16" s="11" t="str">
        <f t="shared" si="1"/>
        <v/>
      </c>
      <c r="I16" s="8"/>
      <c r="J16" s="8"/>
      <c r="K16" s="8"/>
      <c r="L16" s="8"/>
      <c r="M16" s="8"/>
      <c r="N16" s="8"/>
      <c r="O16" s="8"/>
      <c r="P16" s="8"/>
      <c r="Q16" s="13" t="str">
        <f t="shared" si="2"/>
        <v/>
      </c>
      <c r="R16" s="8"/>
      <c r="S16" s="8"/>
      <c r="T16" s="9"/>
      <c r="U16" s="8"/>
      <c r="V16" s="8"/>
      <c r="W16" s="8"/>
      <c r="X16" s="8"/>
      <c r="Y16" s="8"/>
      <c r="Z16" s="8"/>
      <c r="AA16" s="8"/>
      <c r="AB16" s="8"/>
      <c r="AC16" s="9"/>
      <c r="AD16" s="9"/>
      <c r="AE16" s="9"/>
      <c r="AF16" s="8"/>
      <c r="AG16" s="8"/>
      <c r="AH16" s="11" t="str">
        <f t="shared" si="3"/>
        <v/>
      </c>
    </row>
    <row r="17" spans="1:34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IF(A17="","",IF(COUNTIF('09 - ADOPTION &amp; BENEFITS'!$A$9:$A$58,A17)&gt;1,"DUPLICATE ID ","")&amp;IF(ReviewDate="","SET REVIEW DATE ","")&amp;IF(OR(O17="",O17&lt;=0),"DENOMINATOR MISSING OR ZERO ","")&amp;IF(AND(ISNUMBER(P17),ISNUMBER(O17),OR(P17&lt;0,P17&gt;O17)),"INVALID NUMERATOR ","")&amp;IF(R17="","NO BASELINE ","")&amp;IF(AND(S17&lt;&gt;"",OR(AD17="",AND(ISNUMBER(AE17),AE17&lt;AD17))),"TARGET BEFORE BASELINE ","")&amp;IF(K17="","OUTCOME OWNER MISSING ","")&amp;IF(AB17&lt;&gt;"Yes","HANDOVER NOT RECORDED ","")&amp;IF(AND(AF17="Improving",AG17="Flat"),"ADOPTION UP OUTCOME FLAT ","")&amp;IF(AND(AG17="Improving",Z17=""),"ATTRIBUTION UNCERTAIN ","")&amp;IF(AND(ISNUMBER(AH17),AH17&lt;ObservationDays),"OBSERVATION WINDOW INCOMPLETE ",""))</f>
        <v/>
      </c>
      <c r="H17" s="11" t="str">
        <f t="shared" si="1"/>
        <v/>
      </c>
      <c r="I17" s="8"/>
      <c r="J17" s="8"/>
      <c r="K17" s="8"/>
      <c r="L17" s="8"/>
      <c r="M17" s="8"/>
      <c r="N17" s="8"/>
      <c r="O17" s="8"/>
      <c r="P17" s="8"/>
      <c r="Q17" s="13" t="str">
        <f t="shared" si="2"/>
        <v/>
      </c>
      <c r="R17" s="8"/>
      <c r="S17" s="8"/>
      <c r="T17" s="9"/>
      <c r="U17" s="8"/>
      <c r="V17" s="8"/>
      <c r="W17" s="8"/>
      <c r="X17" s="8"/>
      <c r="Y17" s="8"/>
      <c r="Z17" s="8"/>
      <c r="AA17" s="8"/>
      <c r="AB17" s="8"/>
      <c r="AC17" s="9"/>
      <c r="AD17" s="9"/>
      <c r="AE17" s="9"/>
      <c r="AF17" s="8"/>
      <c r="AG17" s="8"/>
      <c r="AH17" s="11" t="str">
        <f t="shared" si="3"/>
        <v/>
      </c>
    </row>
    <row r="18" spans="1:34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IF(A18="","",IF(COUNTIF('09 - ADOPTION &amp; BENEFITS'!$A$9:$A$58,A18)&gt;1,"DUPLICATE ID ","")&amp;IF(ReviewDate="","SET REVIEW DATE ","")&amp;IF(OR(O18="",O18&lt;=0),"DENOMINATOR MISSING OR ZERO ","")&amp;IF(AND(ISNUMBER(P18),ISNUMBER(O18),OR(P18&lt;0,P18&gt;O18)),"INVALID NUMERATOR ","")&amp;IF(R18="","NO BASELINE ","")&amp;IF(AND(S18&lt;&gt;"",OR(AD18="",AND(ISNUMBER(AE18),AE18&lt;AD18))),"TARGET BEFORE BASELINE ","")&amp;IF(K18="","OUTCOME OWNER MISSING ","")&amp;IF(AB18&lt;&gt;"Yes","HANDOVER NOT RECORDED ","")&amp;IF(AND(AF18="Improving",AG18="Flat"),"ADOPTION UP OUTCOME FLAT ","")&amp;IF(AND(AG18="Improving",Z18=""),"ATTRIBUTION UNCERTAIN ","")&amp;IF(AND(ISNUMBER(AH18),AH18&lt;ObservationDays),"OBSERVATION WINDOW INCOMPLETE ",""))</f>
        <v/>
      </c>
      <c r="H18" s="11" t="str">
        <f t="shared" si="1"/>
        <v/>
      </c>
      <c r="I18" s="8"/>
      <c r="J18" s="8"/>
      <c r="K18" s="8"/>
      <c r="L18" s="8"/>
      <c r="M18" s="8"/>
      <c r="N18" s="8"/>
      <c r="O18" s="8"/>
      <c r="P18" s="8"/>
      <c r="Q18" s="13" t="str">
        <f t="shared" si="2"/>
        <v/>
      </c>
      <c r="R18" s="8"/>
      <c r="S18" s="8"/>
      <c r="T18" s="9"/>
      <c r="U18" s="8"/>
      <c r="V18" s="8"/>
      <c r="W18" s="8"/>
      <c r="X18" s="8"/>
      <c r="Y18" s="8"/>
      <c r="Z18" s="8"/>
      <c r="AA18" s="8"/>
      <c r="AB18" s="8"/>
      <c r="AC18" s="9"/>
      <c r="AD18" s="9"/>
      <c r="AE18" s="9"/>
      <c r="AF18" s="8"/>
      <c r="AG18" s="8"/>
      <c r="AH18" s="11" t="str">
        <f t="shared" si="3"/>
        <v/>
      </c>
    </row>
    <row r="19" spans="1:34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IF(A19="","",IF(COUNTIF('09 - ADOPTION &amp; BENEFITS'!$A$9:$A$58,A19)&gt;1,"DUPLICATE ID ","")&amp;IF(ReviewDate="","SET REVIEW DATE ","")&amp;IF(OR(O19="",O19&lt;=0),"DENOMINATOR MISSING OR ZERO ","")&amp;IF(AND(ISNUMBER(P19),ISNUMBER(O19),OR(P19&lt;0,P19&gt;O19)),"INVALID NUMERATOR ","")&amp;IF(R19="","NO BASELINE ","")&amp;IF(AND(S19&lt;&gt;"",OR(AD19="",AND(ISNUMBER(AE19),AE19&lt;AD19))),"TARGET BEFORE BASELINE ","")&amp;IF(K19="","OUTCOME OWNER MISSING ","")&amp;IF(AB19&lt;&gt;"Yes","HANDOVER NOT RECORDED ","")&amp;IF(AND(AF19="Improving",AG19="Flat"),"ADOPTION UP OUTCOME FLAT ","")&amp;IF(AND(AG19="Improving",Z19=""),"ATTRIBUTION UNCERTAIN ","")&amp;IF(AND(ISNUMBER(AH19),AH19&lt;ObservationDays),"OBSERVATION WINDOW INCOMPLETE ",""))</f>
        <v/>
      </c>
      <c r="H19" s="11" t="str">
        <f t="shared" si="1"/>
        <v/>
      </c>
      <c r="I19" s="8"/>
      <c r="J19" s="8"/>
      <c r="K19" s="8"/>
      <c r="L19" s="8"/>
      <c r="M19" s="8"/>
      <c r="N19" s="8"/>
      <c r="O19" s="8"/>
      <c r="P19" s="8"/>
      <c r="Q19" s="13" t="str">
        <f t="shared" si="2"/>
        <v/>
      </c>
      <c r="R19" s="8"/>
      <c r="S19" s="8"/>
      <c r="T19" s="9"/>
      <c r="U19" s="8"/>
      <c r="V19" s="8"/>
      <c r="W19" s="8"/>
      <c r="X19" s="8"/>
      <c r="Y19" s="8"/>
      <c r="Z19" s="8"/>
      <c r="AA19" s="8"/>
      <c r="AB19" s="8"/>
      <c r="AC19" s="9"/>
      <c r="AD19" s="9"/>
      <c r="AE19" s="9"/>
      <c r="AF19" s="8"/>
      <c r="AG19" s="8"/>
      <c r="AH19" s="11" t="str">
        <f t="shared" si="3"/>
        <v/>
      </c>
    </row>
    <row r="20" spans="1:34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IF(A20="","",IF(COUNTIF('09 - ADOPTION &amp; BENEFITS'!$A$9:$A$58,A20)&gt;1,"DUPLICATE ID ","")&amp;IF(ReviewDate="","SET REVIEW DATE ","")&amp;IF(OR(O20="",O20&lt;=0),"DENOMINATOR MISSING OR ZERO ","")&amp;IF(AND(ISNUMBER(P20),ISNUMBER(O20),OR(P20&lt;0,P20&gt;O20)),"INVALID NUMERATOR ","")&amp;IF(R20="","NO BASELINE ","")&amp;IF(AND(S20&lt;&gt;"",OR(AD20="",AND(ISNUMBER(AE20),AE20&lt;AD20))),"TARGET BEFORE BASELINE ","")&amp;IF(K20="","OUTCOME OWNER MISSING ","")&amp;IF(AB20&lt;&gt;"Yes","HANDOVER NOT RECORDED ","")&amp;IF(AND(AF20="Improving",AG20="Flat"),"ADOPTION UP OUTCOME FLAT ","")&amp;IF(AND(AG20="Improving",Z20=""),"ATTRIBUTION UNCERTAIN ","")&amp;IF(AND(ISNUMBER(AH20),AH20&lt;ObservationDays),"OBSERVATION WINDOW INCOMPLETE ",""))</f>
        <v/>
      </c>
      <c r="H20" s="11" t="str">
        <f t="shared" si="1"/>
        <v/>
      </c>
      <c r="I20" s="8"/>
      <c r="J20" s="8"/>
      <c r="K20" s="8"/>
      <c r="L20" s="8"/>
      <c r="M20" s="8"/>
      <c r="N20" s="8"/>
      <c r="O20" s="8"/>
      <c r="P20" s="8"/>
      <c r="Q20" s="13" t="str">
        <f t="shared" si="2"/>
        <v/>
      </c>
      <c r="R20" s="8"/>
      <c r="S20" s="8"/>
      <c r="T20" s="9"/>
      <c r="U20" s="8"/>
      <c r="V20" s="8"/>
      <c r="W20" s="8"/>
      <c r="X20" s="8"/>
      <c r="Y20" s="8"/>
      <c r="Z20" s="8"/>
      <c r="AA20" s="8"/>
      <c r="AB20" s="8"/>
      <c r="AC20" s="9"/>
      <c r="AD20" s="9"/>
      <c r="AE20" s="9"/>
      <c r="AF20" s="8"/>
      <c r="AG20" s="8"/>
      <c r="AH20" s="11" t="str">
        <f t="shared" si="3"/>
        <v/>
      </c>
    </row>
    <row r="21" spans="1:34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IF(A21="","",IF(COUNTIF('09 - ADOPTION &amp; BENEFITS'!$A$9:$A$58,A21)&gt;1,"DUPLICATE ID ","")&amp;IF(ReviewDate="","SET REVIEW DATE ","")&amp;IF(OR(O21="",O21&lt;=0),"DENOMINATOR MISSING OR ZERO ","")&amp;IF(AND(ISNUMBER(P21),ISNUMBER(O21),OR(P21&lt;0,P21&gt;O21)),"INVALID NUMERATOR ","")&amp;IF(R21="","NO BASELINE ","")&amp;IF(AND(S21&lt;&gt;"",OR(AD21="",AND(ISNUMBER(AE21),AE21&lt;AD21))),"TARGET BEFORE BASELINE ","")&amp;IF(K21="","OUTCOME OWNER MISSING ","")&amp;IF(AB21&lt;&gt;"Yes","HANDOVER NOT RECORDED ","")&amp;IF(AND(AF21="Improving",AG21="Flat"),"ADOPTION UP OUTCOME FLAT ","")&amp;IF(AND(AG21="Improving",Z21=""),"ATTRIBUTION UNCERTAIN ","")&amp;IF(AND(ISNUMBER(AH21),AH21&lt;ObservationDays),"OBSERVATION WINDOW INCOMPLETE ",""))</f>
        <v/>
      </c>
      <c r="H21" s="11" t="str">
        <f t="shared" si="1"/>
        <v/>
      </c>
      <c r="I21" s="8"/>
      <c r="J21" s="8"/>
      <c r="K21" s="8"/>
      <c r="L21" s="8"/>
      <c r="M21" s="8"/>
      <c r="N21" s="8"/>
      <c r="O21" s="8"/>
      <c r="P21" s="8"/>
      <c r="Q21" s="13" t="str">
        <f t="shared" si="2"/>
        <v/>
      </c>
      <c r="R21" s="8"/>
      <c r="S21" s="8"/>
      <c r="T21" s="9"/>
      <c r="U21" s="8"/>
      <c r="V21" s="8"/>
      <c r="W21" s="8"/>
      <c r="X21" s="8"/>
      <c r="Y21" s="8"/>
      <c r="Z21" s="8"/>
      <c r="AA21" s="8"/>
      <c r="AB21" s="8"/>
      <c r="AC21" s="9"/>
      <c r="AD21" s="9"/>
      <c r="AE21" s="9"/>
      <c r="AF21" s="8"/>
      <c r="AG21" s="8"/>
      <c r="AH21" s="11" t="str">
        <f t="shared" si="3"/>
        <v/>
      </c>
    </row>
    <row r="22" spans="1:34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IF(A22="","",IF(COUNTIF('09 - ADOPTION &amp; BENEFITS'!$A$9:$A$58,A22)&gt;1,"DUPLICATE ID ","")&amp;IF(ReviewDate="","SET REVIEW DATE ","")&amp;IF(OR(O22="",O22&lt;=0),"DENOMINATOR MISSING OR ZERO ","")&amp;IF(AND(ISNUMBER(P22),ISNUMBER(O22),OR(P22&lt;0,P22&gt;O22)),"INVALID NUMERATOR ","")&amp;IF(R22="","NO BASELINE ","")&amp;IF(AND(S22&lt;&gt;"",OR(AD22="",AND(ISNUMBER(AE22),AE22&lt;AD22))),"TARGET BEFORE BASELINE ","")&amp;IF(K22="","OUTCOME OWNER MISSING ","")&amp;IF(AB22&lt;&gt;"Yes","HANDOVER NOT RECORDED ","")&amp;IF(AND(AF22="Improving",AG22="Flat"),"ADOPTION UP OUTCOME FLAT ","")&amp;IF(AND(AG22="Improving",Z22=""),"ATTRIBUTION UNCERTAIN ","")&amp;IF(AND(ISNUMBER(AH22),AH22&lt;ObservationDays),"OBSERVATION WINDOW INCOMPLETE ",""))</f>
        <v/>
      </c>
      <c r="H22" s="11" t="str">
        <f t="shared" si="1"/>
        <v/>
      </c>
      <c r="I22" s="8"/>
      <c r="J22" s="8"/>
      <c r="K22" s="8"/>
      <c r="L22" s="8"/>
      <c r="M22" s="8"/>
      <c r="N22" s="8"/>
      <c r="O22" s="8"/>
      <c r="P22" s="8"/>
      <c r="Q22" s="13" t="str">
        <f t="shared" si="2"/>
        <v/>
      </c>
      <c r="R22" s="8"/>
      <c r="S22" s="8"/>
      <c r="T22" s="9"/>
      <c r="U22" s="8"/>
      <c r="V22" s="8"/>
      <c r="W22" s="8"/>
      <c r="X22" s="8"/>
      <c r="Y22" s="8"/>
      <c r="Z22" s="8"/>
      <c r="AA22" s="8"/>
      <c r="AB22" s="8"/>
      <c r="AC22" s="9"/>
      <c r="AD22" s="9"/>
      <c r="AE22" s="9"/>
      <c r="AF22" s="8"/>
      <c r="AG22" s="8"/>
      <c r="AH22" s="11" t="str">
        <f t="shared" si="3"/>
        <v/>
      </c>
    </row>
    <row r="23" spans="1:34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IF(A23="","",IF(COUNTIF('09 - ADOPTION &amp; BENEFITS'!$A$9:$A$58,A23)&gt;1,"DUPLICATE ID ","")&amp;IF(ReviewDate="","SET REVIEW DATE ","")&amp;IF(OR(O23="",O23&lt;=0),"DENOMINATOR MISSING OR ZERO ","")&amp;IF(AND(ISNUMBER(P23),ISNUMBER(O23),OR(P23&lt;0,P23&gt;O23)),"INVALID NUMERATOR ","")&amp;IF(R23="","NO BASELINE ","")&amp;IF(AND(S23&lt;&gt;"",OR(AD23="",AND(ISNUMBER(AE23),AE23&lt;AD23))),"TARGET BEFORE BASELINE ","")&amp;IF(K23="","OUTCOME OWNER MISSING ","")&amp;IF(AB23&lt;&gt;"Yes","HANDOVER NOT RECORDED ","")&amp;IF(AND(AF23="Improving",AG23="Flat"),"ADOPTION UP OUTCOME FLAT ","")&amp;IF(AND(AG23="Improving",Z23=""),"ATTRIBUTION UNCERTAIN ","")&amp;IF(AND(ISNUMBER(AH23),AH23&lt;ObservationDays),"OBSERVATION WINDOW INCOMPLETE ",""))</f>
        <v/>
      </c>
      <c r="H23" s="11" t="str">
        <f t="shared" si="1"/>
        <v/>
      </c>
      <c r="I23" s="8"/>
      <c r="J23" s="8"/>
      <c r="K23" s="8"/>
      <c r="L23" s="8"/>
      <c r="M23" s="8"/>
      <c r="N23" s="8"/>
      <c r="O23" s="8"/>
      <c r="P23" s="8"/>
      <c r="Q23" s="13" t="str">
        <f t="shared" si="2"/>
        <v/>
      </c>
      <c r="R23" s="8"/>
      <c r="S23" s="8"/>
      <c r="T23" s="9"/>
      <c r="U23" s="8"/>
      <c r="V23" s="8"/>
      <c r="W23" s="8"/>
      <c r="X23" s="8"/>
      <c r="Y23" s="8"/>
      <c r="Z23" s="8"/>
      <c r="AA23" s="8"/>
      <c r="AB23" s="8"/>
      <c r="AC23" s="9"/>
      <c r="AD23" s="9"/>
      <c r="AE23" s="9"/>
      <c r="AF23" s="8"/>
      <c r="AG23" s="8"/>
      <c r="AH23" s="11" t="str">
        <f t="shared" si="3"/>
        <v/>
      </c>
    </row>
    <row r="24" spans="1:34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IF(A24="","",IF(COUNTIF('09 - ADOPTION &amp; BENEFITS'!$A$9:$A$58,A24)&gt;1,"DUPLICATE ID ","")&amp;IF(ReviewDate="","SET REVIEW DATE ","")&amp;IF(OR(O24="",O24&lt;=0),"DENOMINATOR MISSING OR ZERO ","")&amp;IF(AND(ISNUMBER(P24),ISNUMBER(O24),OR(P24&lt;0,P24&gt;O24)),"INVALID NUMERATOR ","")&amp;IF(R24="","NO BASELINE ","")&amp;IF(AND(S24&lt;&gt;"",OR(AD24="",AND(ISNUMBER(AE24),AE24&lt;AD24))),"TARGET BEFORE BASELINE ","")&amp;IF(K24="","OUTCOME OWNER MISSING ","")&amp;IF(AB24&lt;&gt;"Yes","HANDOVER NOT RECORDED ","")&amp;IF(AND(AF24="Improving",AG24="Flat"),"ADOPTION UP OUTCOME FLAT ","")&amp;IF(AND(AG24="Improving",Z24=""),"ATTRIBUTION UNCERTAIN ","")&amp;IF(AND(ISNUMBER(AH24),AH24&lt;ObservationDays),"OBSERVATION WINDOW INCOMPLETE ",""))</f>
        <v/>
      </c>
      <c r="H24" s="11" t="str">
        <f t="shared" si="1"/>
        <v/>
      </c>
      <c r="I24" s="8"/>
      <c r="J24" s="8"/>
      <c r="K24" s="8"/>
      <c r="L24" s="8"/>
      <c r="M24" s="8"/>
      <c r="N24" s="8"/>
      <c r="O24" s="8"/>
      <c r="P24" s="8"/>
      <c r="Q24" s="13" t="str">
        <f t="shared" si="2"/>
        <v/>
      </c>
      <c r="R24" s="8"/>
      <c r="S24" s="8"/>
      <c r="T24" s="9"/>
      <c r="U24" s="8"/>
      <c r="V24" s="8"/>
      <c r="W24" s="8"/>
      <c r="X24" s="8"/>
      <c r="Y24" s="8"/>
      <c r="Z24" s="8"/>
      <c r="AA24" s="8"/>
      <c r="AB24" s="8"/>
      <c r="AC24" s="9"/>
      <c r="AD24" s="9"/>
      <c r="AE24" s="9"/>
      <c r="AF24" s="8"/>
      <c r="AG24" s="8"/>
      <c r="AH24" s="11" t="str">
        <f t="shared" si="3"/>
        <v/>
      </c>
    </row>
    <row r="25" spans="1:34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IF(A25="","",IF(COUNTIF('09 - ADOPTION &amp; BENEFITS'!$A$9:$A$58,A25)&gt;1,"DUPLICATE ID ","")&amp;IF(ReviewDate="","SET REVIEW DATE ","")&amp;IF(OR(O25="",O25&lt;=0),"DENOMINATOR MISSING OR ZERO ","")&amp;IF(AND(ISNUMBER(P25),ISNUMBER(O25),OR(P25&lt;0,P25&gt;O25)),"INVALID NUMERATOR ","")&amp;IF(R25="","NO BASELINE ","")&amp;IF(AND(S25&lt;&gt;"",OR(AD25="",AND(ISNUMBER(AE25),AE25&lt;AD25))),"TARGET BEFORE BASELINE ","")&amp;IF(K25="","OUTCOME OWNER MISSING ","")&amp;IF(AB25&lt;&gt;"Yes","HANDOVER NOT RECORDED ","")&amp;IF(AND(AF25="Improving",AG25="Flat"),"ADOPTION UP OUTCOME FLAT ","")&amp;IF(AND(AG25="Improving",Z25=""),"ATTRIBUTION UNCERTAIN ","")&amp;IF(AND(ISNUMBER(AH25),AH25&lt;ObservationDays),"OBSERVATION WINDOW INCOMPLETE ",""))</f>
        <v/>
      </c>
      <c r="H25" s="11" t="str">
        <f t="shared" si="1"/>
        <v/>
      </c>
      <c r="I25" s="8"/>
      <c r="J25" s="8"/>
      <c r="K25" s="8"/>
      <c r="L25" s="8"/>
      <c r="M25" s="8"/>
      <c r="N25" s="8"/>
      <c r="O25" s="8"/>
      <c r="P25" s="8"/>
      <c r="Q25" s="13" t="str">
        <f t="shared" si="2"/>
        <v/>
      </c>
      <c r="R25" s="8"/>
      <c r="S25" s="8"/>
      <c r="T25" s="9"/>
      <c r="U25" s="8"/>
      <c r="V25" s="8"/>
      <c r="W25" s="8"/>
      <c r="X25" s="8"/>
      <c r="Y25" s="8"/>
      <c r="Z25" s="8"/>
      <c r="AA25" s="8"/>
      <c r="AB25" s="8"/>
      <c r="AC25" s="9"/>
      <c r="AD25" s="9"/>
      <c r="AE25" s="9"/>
      <c r="AF25" s="8"/>
      <c r="AG25" s="8"/>
      <c r="AH25" s="11" t="str">
        <f t="shared" si="3"/>
        <v/>
      </c>
    </row>
    <row r="26" spans="1:34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IF(A26="","",IF(COUNTIF('09 - ADOPTION &amp; BENEFITS'!$A$9:$A$58,A26)&gt;1,"DUPLICATE ID ","")&amp;IF(ReviewDate="","SET REVIEW DATE ","")&amp;IF(OR(O26="",O26&lt;=0),"DENOMINATOR MISSING OR ZERO ","")&amp;IF(AND(ISNUMBER(P26),ISNUMBER(O26),OR(P26&lt;0,P26&gt;O26)),"INVALID NUMERATOR ","")&amp;IF(R26="","NO BASELINE ","")&amp;IF(AND(S26&lt;&gt;"",OR(AD26="",AND(ISNUMBER(AE26),AE26&lt;AD26))),"TARGET BEFORE BASELINE ","")&amp;IF(K26="","OUTCOME OWNER MISSING ","")&amp;IF(AB26&lt;&gt;"Yes","HANDOVER NOT RECORDED ","")&amp;IF(AND(AF26="Improving",AG26="Flat"),"ADOPTION UP OUTCOME FLAT ","")&amp;IF(AND(AG26="Improving",Z26=""),"ATTRIBUTION UNCERTAIN ","")&amp;IF(AND(ISNUMBER(AH26),AH26&lt;ObservationDays),"OBSERVATION WINDOW INCOMPLETE ",""))</f>
        <v/>
      </c>
      <c r="H26" s="11" t="str">
        <f t="shared" si="1"/>
        <v/>
      </c>
      <c r="I26" s="8"/>
      <c r="J26" s="8"/>
      <c r="K26" s="8"/>
      <c r="L26" s="8"/>
      <c r="M26" s="8"/>
      <c r="N26" s="8"/>
      <c r="O26" s="8"/>
      <c r="P26" s="8"/>
      <c r="Q26" s="13" t="str">
        <f t="shared" si="2"/>
        <v/>
      </c>
      <c r="R26" s="8"/>
      <c r="S26" s="8"/>
      <c r="T26" s="9"/>
      <c r="U26" s="8"/>
      <c r="V26" s="8"/>
      <c r="W26" s="8"/>
      <c r="X26" s="8"/>
      <c r="Y26" s="8"/>
      <c r="Z26" s="8"/>
      <c r="AA26" s="8"/>
      <c r="AB26" s="8"/>
      <c r="AC26" s="9"/>
      <c r="AD26" s="9"/>
      <c r="AE26" s="9"/>
      <c r="AF26" s="8"/>
      <c r="AG26" s="8"/>
      <c r="AH26" s="11" t="str">
        <f t="shared" si="3"/>
        <v/>
      </c>
    </row>
    <row r="27" spans="1:34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IF(A27="","",IF(COUNTIF('09 - ADOPTION &amp; BENEFITS'!$A$9:$A$58,A27)&gt;1,"DUPLICATE ID ","")&amp;IF(ReviewDate="","SET REVIEW DATE ","")&amp;IF(OR(O27="",O27&lt;=0),"DENOMINATOR MISSING OR ZERO ","")&amp;IF(AND(ISNUMBER(P27),ISNUMBER(O27),OR(P27&lt;0,P27&gt;O27)),"INVALID NUMERATOR ","")&amp;IF(R27="","NO BASELINE ","")&amp;IF(AND(S27&lt;&gt;"",OR(AD27="",AND(ISNUMBER(AE27),AE27&lt;AD27))),"TARGET BEFORE BASELINE ","")&amp;IF(K27="","OUTCOME OWNER MISSING ","")&amp;IF(AB27&lt;&gt;"Yes","HANDOVER NOT RECORDED ","")&amp;IF(AND(AF27="Improving",AG27="Flat"),"ADOPTION UP OUTCOME FLAT ","")&amp;IF(AND(AG27="Improving",Z27=""),"ATTRIBUTION UNCERTAIN ","")&amp;IF(AND(ISNUMBER(AH27),AH27&lt;ObservationDays),"OBSERVATION WINDOW INCOMPLETE ",""))</f>
        <v/>
      </c>
      <c r="H27" s="11" t="str">
        <f t="shared" si="1"/>
        <v/>
      </c>
      <c r="I27" s="8"/>
      <c r="J27" s="8"/>
      <c r="K27" s="8"/>
      <c r="L27" s="8"/>
      <c r="M27" s="8"/>
      <c r="N27" s="8"/>
      <c r="O27" s="8"/>
      <c r="P27" s="8"/>
      <c r="Q27" s="13" t="str">
        <f t="shared" si="2"/>
        <v/>
      </c>
      <c r="R27" s="8"/>
      <c r="S27" s="8"/>
      <c r="T27" s="9"/>
      <c r="U27" s="8"/>
      <c r="V27" s="8"/>
      <c r="W27" s="8"/>
      <c r="X27" s="8"/>
      <c r="Y27" s="8"/>
      <c r="Z27" s="8"/>
      <c r="AA27" s="8"/>
      <c r="AB27" s="8"/>
      <c r="AC27" s="9"/>
      <c r="AD27" s="9"/>
      <c r="AE27" s="9"/>
      <c r="AF27" s="8"/>
      <c r="AG27" s="8"/>
      <c r="AH27" s="11" t="str">
        <f t="shared" si="3"/>
        <v/>
      </c>
    </row>
    <row r="28" spans="1:34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IF(A28="","",IF(COUNTIF('09 - ADOPTION &amp; BENEFITS'!$A$9:$A$58,A28)&gt;1,"DUPLICATE ID ","")&amp;IF(ReviewDate="","SET REVIEW DATE ","")&amp;IF(OR(O28="",O28&lt;=0),"DENOMINATOR MISSING OR ZERO ","")&amp;IF(AND(ISNUMBER(P28),ISNUMBER(O28),OR(P28&lt;0,P28&gt;O28)),"INVALID NUMERATOR ","")&amp;IF(R28="","NO BASELINE ","")&amp;IF(AND(S28&lt;&gt;"",OR(AD28="",AND(ISNUMBER(AE28),AE28&lt;AD28))),"TARGET BEFORE BASELINE ","")&amp;IF(K28="","OUTCOME OWNER MISSING ","")&amp;IF(AB28&lt;&gt;"Yes","HANDOVER NOT RECORDED ","")&amp;IF(AND(AF28="Improving",AG28="Flat"),"ADOPTION UP OUTCOME FLAT ","")&amp;IF(AND(AG28="Improving",Z28=""),"ATTRIBUTION UNCERTAIN ","")&amp;IF(AND(ISNUMBER(AH28),AH28&lt;ObservationDays),"OBSERVATION WINDOW INCOMPLETE ",""))</f>
        <v/>
      </c>
      <c r="H28" s="11" t="str">
        <f t="shared" si="1"/>
        <v/>
      </c>
      <c r="I28" s="8"/>
      <c r="J28" s="8"/>
      <c r="K28" s="8"/>
      <c r="L28" s="8"/>
      <c r="M28" s="8"/>
      <c r="N28" s="8"/>
      <c r="O28" s="8"/>
      <c r="P28" s="8"/>
      <c r="Q28" s="13" t="str">
        <f t="shared" si="2"/>
        <v/>
      </c>
      <c r="R28" s="8"/>
      <c r="S28" s="8"/>
      <c r="T28" s="9"/>
      <c r="U28" s="8"/>
      <c r="V28" s="8"/>
      <c r="W28" s="8"/>
      <c r="X28" s="8"/>
      <c r="Y28" s="8"/>
      <c r="Z28" s="8"/>
      <c r="AA28" s="8"/>
      <c r="AB28" s="8"/>
      <c r="AC28" s="9"/>
      <c r="AD28" s="9"/>
      <c r="AE28" s="9"/>
      <c r="AF28" s="8"/>
      <c r="AG28" s="8"/>
      <c r="AH28" s="11" t="str">
        <f t="shared" si="3"/>
        <v/>
      </c>
    </row>
    <row r="29" spans="1:34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IF(A29="","",IF(COUNTIF('09 - ADOPTION &amp; BENEFITS'!$A$9:$A$58,A29)&gt;1,"DUPLICATE ID ","")&amp;IF(ReviewDate="","SET REVIEW DATE ","")&amp;IF(OR(O29="",O29&lt;=0),"DENOMINATOR MISSING OR ZERO ","")&amp;IF(AND(ISNUMBER(P29),ISNUMBER(O29),OR(P29&lt;0,P29&gt;O29)),"INVALID NUMERATOR ","")&amp;IF(R29="","NO BASELINE ","")&amp;IF(AND(S29&lt;&gt;"",OR(AD29="",AND(ISNUMBER(AE29),AE29&lt;AD29))),"TARGET BEFORE BASELINE ","")&amp;IF(K29="","OUTCOME OWNER MISSING ","")&amp;IF(AB29&lt;&gt;"Yes","HANDOVER NOT RECORDED ","")&amp;IF(AND(AF29="Improving",AG29="Flat"),"ADOPTION UP OUTCOME FLAT ","")&amp;IF(AND(AG29="Improving",Z29=""),"ATTRIBUTION UNCERTAIN ","")&amp;IF(AND(ISNUMBER(AH29),AH29&lt;ObservationDays),"OBSERVATION WINDOW INCOMPLETE ",""))</f>
        <v/>
      </c>
      <c r="H29" s="11" t="str">
        <f t="shared" si="1"/>
        <v/>
      </c>
      <c r="I29" s="8"/>
      <c r="J29" s="8"/>
      <c r="K29" s="8"/>
      <c r="L29" s="8"/>
      <c r="M29" s="8"/>
      <c r="N29" s="8"/>
      <c r="O29" s="8"/>
      <c r="P29" s="8"/>
      <c r="Q29" s="13" t="str">
        <f t="shared" si="2"/>
        <v/>
      </c>
      <c r="R29" s="8"/>
      <c r="S29" s="8"/>
      <c r="T29" s="9"/>
      <c r="U29" s="8"/>
      <c r="V29" s="8"/>
      <c r="W29" s="8"/>
      <c r="X29" s="8"/>
      <c r="Y29" s="8"/>
      <c r="Z29" s="8"/>
      <c r="AA29" s="8"/>
      <c r="AB29" s="8"/>
      <c r="AC29" s="9"/>
      <c r="AD29" s="9"/>
      <c r="AE29" s="9"/>
      <c r="AF29" s="8"/>
      <c r="AG29" s="8"/>
      <c r="AH29" s="11" t="str">
        <f t="shared" si="3"/>
        <v/>
      </c>
    </row>
    <row r="30" spans="1:34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IF(A30="","",IF(COUNTIF('09 - ADOPTION &amp; BENEFITS'!$A$9:$A$58,A30)&gt;1,"DUPLICATE ID ","")&amp;IF(ReviewDate="","SET REVIEW DATE ","")&amp;IF(OR(O30="",O30&lt;=0),"DENOMINATOR MISSING OR ZERO ","")&amp;IF(AND(ISNUMBER(P30),ISNUMBER(O30),OR(P30&lt;0,P30&gt;O30)),"INVALID NUMERATOR ","")&amp;IF(R30="","NO BASELINE ","")&amp;IF(AND(S30&lt;&gt;"",OR(AD30="",AND(ISNUMBER(AE30),AE30&lt;AD30))),"TARGET BEFORE BASELINE ","")&amp;IF(K30="","OUTCOME OWNER MISSING ","")&amp;IF(AB30&lt;&gt;"Yes","HANDOVER NOT RECORDED ","")&amp;IF(AND(AF30="Improving",AG30="Flat"),"ADOPTION UP OUTCOME FLAT ","")&amp;IF(AND(AG30="Improving",Z30=""),"ATTRIBUTION UNCERTAIN ","")&amp;IF(AND(ISNUMBER(AH30),AH30&lt;ObservationDays),"OBSERVATION WINDOW INCOMPLETE ",""))</f>
        <v/>
      </c>
      <c r="H30" s="11" t="str">
        <f t="shared" si="1"/>
        <v/>
      </c>
      <c r="I30" s="8"/>
      <c r="J30" s="8"/>
      <c r="K30" s="8"/>
      <c r="L30" s="8"/>
      <c r="M30" s="8"/>
      <c r="N30" s="8"/>
      <c r="O30" s="8"/>
      <c r="P30" s="8"/>
      <c r="Q30" s="13" t="str">
        <f t="shared" si="2"/>
        <v/>
      </c>
      <c r="R30" s="8"/>
      <c r="S30" s="8"/>
      <c r="T30" s="9"/>
      <c r="U30" s="8"/>
      <c r="V30" s="8"/>
      <c r="W30" s="8"/>
      <c r="X30" s="8"/>
      <c r="Y30" s="8"/>
      <c r="Z30" s="8"/>
      <c r="AA30" s="8"/>
      <c r="AB30" s="8"/>
      <c r="AC30" s="9"/>
      <c r="AD30" s="9"/>
      <c r="AE30" s="9"/>
      <c r="AF30" s="8"/>
      <c r="AG30" s="8"/>
      <c r="AH30" s="11" t="str">
        <f t="shared" si="3"/>
        <v/>
      </c>
    </row>
    <row r="31" spans="1:34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IF(A31="","",IF(COUNTIF('09 - ADOPTION &amp; BENEFITS'!$A$9:$A$58,A31)&gt;1,"DUPLICATE ID ","")&amp;IF(ReviewDate="","SET REVIEW DATE ","")&amp;IF(OR(O31="",O31&lt;=0),"DENOMINATOR MISSING OR ZERO ","")&amp;IF(AND(ISNUMBER(P31),ISNUMBER(O31),OR(P31&lt;0,P31&gt;O31)),"INVALID NUMERATOR ","")&amp;IF(R31="","NO BASELINE ","")&amp;IF(AND(S31&lt;&gt;"",OR(AD31="",AND(ISNUMBER(AE31),AE31&lt;AD31))),"TARGET BEFORE BASELINE ","")&amp;IF(K31="","OUTCOME OWNER MISSING ","")&amp;IF(AB31&lt;&gt;"Yes","HANDOVER NOT RECORDED ","")&amp;IF(AND(AF31="Improving",AG31="Flat"),"ADOPTION UP OUTCOME FLAT ","")&amp;IF(AND(AG31="Improving",Z31=""),"ATTRIBUTION UNCERTAIN ","")&amp;IF(AND(ISNUMBER(AH31),AH31&lt;ObservationDays),"OBSERVATION WINDOW INCOMPLETE ",""))</f>
        <v/>
      </c>
      <c r="H31" s="11" t="str">
        <f t="shared" si="1"/>
        <v/>
      </c>
      <c r="I31" s="8"/>
      <c r="J31" s="8"/>
      <c r="K31" s="8"/>
      <c r="L31" s="8"/>
      <c r="M31" s="8"/>
      <c r="N31" s="8"/>
      <c r="O31" s="8"/>
      <c r="P31" s="8"/>
      <c r="Q31" s="13" t="str">
        <f t="shared" si="2"/>
        <v/>
      </c>
      <c r="R31" s="8"/>
      <c r="S31" s="8"/>
      <c r="T31" s="9"/>
      <c r="U31" s="8"/>
      <c r="V31" s="8"/>
      <c r="W31" s="8"/>
      <c r="X31" s="8"/>
      <c r="Y31" s="8"/>
      <c r="Z31" s="8"/>
      <c r="AA31" s="8"/>
      <c r="AB31" s="8"/>
      <c r="AC31" s="9"/>
      <c r="AD31" s="9"/>
      <c r="AE31" s="9"/>
      <c r="AF31" s="8"/>
      <c r="AG31" s="8"/>
      <c r="AH31" s="11" t="str">
        <f t="shared" si="3"/>
        <v/>
      </c>
    </row>
    <row r="32" spans="1:34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IF(A32="","",IF(COUNTIF('09 - ADOPTION &amp; BENEFITS'!$A$9:$A$58,A32)&gt;1,"DUPLICATE ID ","")&amp;IF(ReviewDate="","SET REVIEW DATE ","")&amp;IF(OR(O32="",O32&lt;=0),"DENOMINATOR MISSING OR ZERO ","")&amp;IF(AND(ISNUMBER(P32),ISNUMBER(O32),OR(P32&lt;0,P32&gt;O32)),"INVALID NUMERATOR ","")&amp;IF(R32="","NO BASELINE ","")&amp;IF(AND(S32&lt;&gt;"",OR(AD32="",AND(ISNUMBER(AE32),AE32&lt;AD32))),"TARGET BEFORE BASELINE ","")&amp;IF(K32="","OUTCOME OWNER MISSING ","")&amp;IF(AB32&lt;&gt;"Yes","HANDOVER NOT RECORDED ","")&amp;IF(AND(AF32="Improving",AG32="Flat"),"ADOPTION UP OUTCOME FLAT ","")&amp;IF(AND(AG32="Improving",Z32=""),"ATTRIBUTION UNCERTAIN ","")&amp;IF(AND(ISNUMBER(AH32),AH32&lt;ObservationDays),"OBSERVATION WINDOW INCOMPLETE ",""))</f>
        <v/>
      </c>
      <c r="H32" s="11" t="str">
        <f t="shared" si="1"/>
        <v/>
      </c>
      <c r="I32" s="8"/>
      <c r="J32" s="8"/>
      <c r="K32" s="8"/>
      <c r="L32" s="8"/>
      <c r="M32" s="8"/>
      <c r="N32" s="8"/>
      <c r="O32" s="8"/>
      <c r="P32" s="8"/>
      <c r="Q32" s="13" t="str">
        <f t="shared" si="2"/>
        <v/>
      </c>
      <c r="R32" s="8"/>
      <c r="S32" s="8"/>
      <c r="T32" s="9"/>
      <c r="U32" s="8"/>
      <c r="V32" s="8"/>
      <c r="W32" s="8"/>
      <c r="X32" s="8"/>
      <c r="Y32" s="8"/>
      <c r="Z32" s="8"/>
      <c r="AA32" s="8"/>
      <c r="AB32" s="8"/>
      <c r="AC32" s="9"/>
      <c r="AD32" s="9"/>
      <c r="AE32" s="9"/>
      <c r="AF32" s="8"/>
      <c r="AG32" s="8"/>
      <c r="AH32" s="11" t="str">
        <f t="shared" si="3"/>
        <v/>
      </c>
    </row>
    <row r="33" spans="1:34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IF(A33="","",IF(COUNTIF('09 - ADOPTION &amp; BENEFITS'!$A$9:$A$58,A33)&gt;1,"DUPLICATE ID ","")&amp;IF(ReviewDate="","SET REVIEW DATE ","")&amp;IF(OR(O33="",O33&lt;=0),"DENOMINATOR MISSING OR ZERO ","")&amp;IF(AND(ISNUMBER(P33),ISNUMBER(O33),OR(P33&lt;0,P33&gt;O33)),"INVALID NUMERATOR ","")&amp;IF(R33="","NO BASELINE ","")&amp;IF(AND(S33&lt;&gt;"",OR(AD33="",AND(ISNUMBER(AE33),AE33&lt;AD33))),"TARGET BEFORE BASELINE ","")&amp;IF(K33="","OUTCOME OWNER MISSING ","")&amp;IF(AB33&lt;&gt;"Yes","HANDOVER NOT RECORDED ","")&amp;IF(AND(AF33="Improving",AG33="Flat"),"ADOPTION UP OUTCOME FLAT ","")&amp;IF(AND(AG33="Improving",Z33=""),"ATTRIBUTION UNCERTAIN ","")&amp;IF(AND(ISNUMBER(AH33),AH33&lt;ObservationDays),"OBSERVATION WINDOW INCOMPLETE ",""))</f>
        <v/>
      </c>
      <c r="H33" s="11" t="str">
        <f t="shared" si="1"/>
        <v/>
      </c>
      <c r="I33" s="8"/>
      <c r="J33" s="8"/>
      <c r="K33" s="8"/>
      <c r="L33" s="8"/>
      <c r="M33" s="8"/>
      <c r="N33" s="8"/>
      <c r="O33" s="8"/>
      <c r="P33" s="8"/>
      <c r="Q33" s="13" t="str">
        <f t="shared" si="2"/>
        <v/>
      </c>
      <c r="R33" s="8"/>
      <c r="S33" s="8"/>
      <c r="T33" s="9"/>
      <c r="U33" s="8"/>
      <c r="V33" s="8"/>
      <c r="W33" s="8"/>
      <c r="X33" s="8"/>
      <c r="Y33" s="8"/>
      <c r="Z33" s="8"/>
      <c r="AA33" s="8"/>
      <c r="AB33" s="8"/>
      <c r="AC33" s="9"/>
      <c r="AD33" s="9"/>
      <c r="AE33" s="9"/>
      <c r="AF33" s="8"/>
      <c r="AG33" s="8"/>
      <c r="AH33" s="11" t="str">
        <f t="shared" si="3"/>
        <v/>
      </c>
    </row>
    <row r="34" spans="1:34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IF(A34="","",IF(COUNTIF('09 - ADOPTION &amp; BENEFITS'!$A$9:$A$58,A34)&gt;1,"DUPLICATE ID ","")&amp;IF(ReviewDate="","SET REVIEW DATE ","")&amp;IF(OR(O34="",O34&lt;=0),"DENOMINATOR MISSING OR ZERO ","")&amp;IF(AND(ISNUMBER(P34),ISNUMBER(O34),OR(P34&lt;0,P34&gt;O34)),"INVALID NUMERATOR ","")&amp;IF(R34="","NO BASELINE ","")&amp;IF(AND(S34&lt;&gt;"",OR(AD34="",AND(ISNUMBER(AE34),AE34&lt;AD34))),"TARGET BEFORE BASELINE ","")&amp;IF(K34="","OUTCOME OWNER MISSING ","")&amp;IF(AB34&lt;&gt;"Yes","HANDOVER NOT RECORDED ","")&amp;IF(AND(AF34="Improving",AG34="Flat"),"ADOPTION UP OUTCOME FLAT ","")&amp;IF(AND(AG34="Improving",Z34=""),"ATTRIBUTION UNCERTAIN ","")&amp;IF(AND(ISNUMBER(AH34),AH34&lt;ObservationDays),"OBSERVATION WINDOW INCOMPLETE ",""))</f>
        <v/>
      </c>
      <c r="H34" s="11" t="str">
        <f t="shared" si="1"/>
        <v/>
      </c>
      <c r="I34" s="8"/>
      <c r="J34" s="8"/>
      <c r="K34" s="8"/>
      <c r="L34" s="8"/>
      <c r="M34" s="8"/>
      <c r="N34" s="8"/>
      <c r="O34" s="8"/>
      <c r="P34" s="8"/>
      <c r="Q34" s="13" t="str">
        <f t="shared" si="2"/>
        <v/>
      </c>
      <c r="R34" s="8"/>
      <c r="S34" s="8"/>
      <c r="T34" s="9"/>
      <c r="U34" s="8"/>
      <c r="V34" s="8"/>
      <c r="W34" s="8"/>
      <c r="X34" s="8"/>
      <c r="Y34" s="8"/>
      <c r="Z34" s="8"/>
      <c r="AA34" s="8"/>
      <c r="AB34" s="8"/>
      <c r="AC34" s="9"/>
      <c r="AD34" s="9"/>
      <c r="AE34" s="9"/>
      <c r="AF34" s="8"/>
      <c r="AG34" s="8"/>
      <c r="AH34" s="11" t="str">
        <f t="shared" si="3"/>
        <v/>
      </c>
    </row>
    <row r="35" spans="1:34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IF(A35="","",IF(COUNTIF('09 - ADOPTION &amp; BENEFITS'!$A$9:$A$58,A35)&gt;1,"DUPLICATE ID ","")&amp;IF(ReviewDate="","SET REVIEW DATE ","")&amp;IF(OR(O35="",O35&lt;=0),"DENOMINATOR MISSING OR ZERO ","")&amp;IF(AND(ISNUMBER(P35),ISNUMBER(O35),OR(P35&lt;0,P35&gt;O35)),"INVALID NUMERATOR ","")&amp;IF(R35="","NO BASELINE ","")&amp;IF(AND(S35&lt;&gt;"",OR(AD35="",AND(ISNUMBER(AE35),AE35&lt;AD35))),"TARGET BEFORE BASELINE ","")&amp;IF(K35="","OUTCOME OWNER MISSING ","")&amp;IF(AB35&lt;&gt;"Yes","HANDOVER NOT RECORDED ","")&amp;IF(AND(AF35="Improving",AG35="Flat"),"ADOPTION UP OUTCOME FLAT ","")&amp;IF(AND(AG35="Improving",Z35=""),"ATTRIBUTION UNCERTAIN ","")&amp;IF(AND(ISNUMBER(AH35),AH35&lt;ObservationDays),"OBSERVATION WINDOW INCOMPLETE ",""))</f>
        <v/>
      </c>
      <c r="H35" s="11" t="str">
        <f t="shared" si="1"/>
        <v/>
      </c>
      <c r="I35" s="8"/>
      <c r="J35" s="8"/>
      <c r="K35" s="8"/>
      <c r="L35" s="8"/>
      <c r="M35" s="8"/>
      <c r="N35" s="8"/>
      <c r="O35" s="8"/>
      <c r="P35" s="8"/>
      <c r="Q35" s="13" t="str">
        <f t="shared" si="2"/>
        <v/>
      </c>
      <c r="R35" s="8"/>
      <c r="S35" s="8"/>
      <c r="T35" s="9"/>
      <c r="U35" s="8"/>
      <c r="V35" s="8"/>
      <c r="W35" s="8"/>
      <c r="X35" s="8"/>
      <c r="Y35" s="8"/>
      <c r="Z35" s="8"/>
      <c r="AA35" s="8"/>
      <c r="AB35" s="8"/>
      <c r="AC35" s="9"/>
      <c r="AD35" s="9"/>
      <c r="AE35" s="9"/>
      <c r="AF35" s="8"/>
      <c r="AG35" s="8"/>
      <c r="AH35" s="11" t="str">
        <f t="shared" si="3"/>
        <v/>
      </c>
    </row>
    <row r="36" spans="1:34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IF(A36="","",IF(COUNTIF('09 - ADOPTION &amp; BENEFITS'!$A$9:$A$58,A36)&gt;1,"DUPLICATE ID ","")&amp;IF(ReviewDate="","SET REVIEW DATE ","")&amp;IF(OR(O36="",O36&lt;=0),"DENOMINATOR MISSING OR ZERO ","")&amp;IF(AND(ISNUMBER(P36),ISNUMBER(O36),OR(P36&lt;0,P36&gt;O36)),"INVALID NUMERATOR ","")&amp;IF(R36="","NO BASELINE ","")&amp;IF(AND(S36&lt;&gt;"",OR(AD36="",AND(ISNUMBER(AE36),AE36&lt;AD36))),"TARGET BEFORE BASELINE ","")&amp;IF(K36="","OUTCOME OWNER MISSING ","")&amp;IF(AB36&lt;&gt;"Yes","HANDOVER NOT RECORDED ","")&amp;IF(AND(AF36="Improving",AG36="Flat"),"ADOPTION UP OUTCOME FLAT ","")&amp;IF(AND(AG36="Improving",Z36=""),"ATTRIBUTION UNCERTAIN ","")&amp;IF(AND(ISNUMBER(AH36),AH36&lt;ObservationDays),"OBSERVATION WINDOW INCOMPLETE ",""))</f>
        <v/>
      </c>
      <c r="H36" s="11" t="str">
        <f t="shared" si="1"/>
        <v/>
      </c>
      <c r="I36" s="8"/>
      <c r="J36" s="8"/>
      <c r="K36" s="8"/>
      <c r="L36" s="8"/>
      <c r="M36" s="8"/>
      <c r="N36" s="8"/>
      <c r="O36" s="8"/>
      <c r="P36" s="8"/>
      <c r="Q36" s="13" t="str">
        <f t="shared" si="2"/>
        <v/>
      </c>
      <c r="R36" s="8"/>
      <c r="S36" s="8"/>
      <c r="T36" s="9"/>
      <c r="U36" s="8"/>
      <c r="V36" s="8"/>
      <c r="W36" s="8"/>
      <c r="X36" s="8"/>
      <c r="Y36" s="8"/>
      <c r="Z36" s="8"/>
      <c r="AA36" s="8"/>
      <c r="AB36" s="8"/>
      <c r="AC36" s="9"/>
      <c r="AD36" s="9"/>
      <c r="AE36" s="9"/>
      <c r="AF36" s="8"/>
      <c r="AG36" s="8"/>
      <c r="AH36" s="11" t="str">
        <f t="shared" si="3"/>
        <v/>
      </c>
    </row>
    <row r="37" spans="1:34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IF(A37="","",IF(COUNTIF('09 - ADOPTION &amp; BENEFITS'!$A$9:$A$58,A37)&gt;1,"DUPLICATE ID ","")&amp;IF(ReviewDate="","SET REVIEW DATE ","")&amp;IF(OR(O37="",O37&lt;=0),"DENOMINATOR MISSING OR ZERO ","")&amp;IF(AND(ISNUMBER(P37),ISNUMBER(O37),OR(P37&lt;0,P37&gt;O37)),"INVALID NUMERATOR ","")&amp;IF(R37="","NO BASELINE ","")&amp;IF(AND(S37&lt;&gt;"",OR(AD37="",AND(ISNUMBER(AE37),AE37&lt;AD37))),"TARGET BEFORE BASELINE ","")&amp;IF(K37="","OUTCOME OWNER MISSING ","")&amp;IF(AB37&lt;&gt;"Yes","HANDOVER NOT RECORDED ","")&amp;IF(AND(AF37="Improving",AG37="Flat"),"ADOPTION UP OUTCOME FLAT ","")&amp;IF(AND(AG37="Improving",Z37=""),"ATTRIBUTION UNCERTAIN ","")&amp;IF(AND(ISNUMBER(AH37),AH37&lt;ObservationDays),"OBSERVATION WINDOW INCOMPLETE ",""))</f>
        <v/>
      </c>
      <c r="H37" s="11" t="str">
        <f t="shared" si="1"/>
        <v/>
      </c>
      <c r="I37" s="8"/>
      <c r="J37" s="8"/>
      <c r="K37" s="8"/>
      <c r="L37" s="8"/>
      <c r="M37" s="8"/>
      <c r="N37" s="8"/>
      <c r="O37" s="8"/>
      <c r="P37" s="8"/>
      <c r="Q37" s="13" t="str">
        <f t="shared" si="2"/>
        <v/>
      </c>
      <c r="R37" s="8"/>
      <c r="S37" s="8"/>
      <c r="T37" s="9"/>
      <c r="U37" s="8"/>
      <c r="V37" s="8"/>
      <c r="W37" s="8"/>
      <c r="X37" s="8"/>
      <c r="Y37" s="8"/>
      <c r="Z37" s="8"/>
      <c r="AA37" s="8"/>
      <c r="AB37" s="8"/>
      <c r="AC37" s="9"/>
      <c r="AD37" s="9"/>
      <c r="AE37" s="9"/>
      <c r="AF37" s="8"/>
      <c r="AG37" s="8"/>
      <c r="AH37" s="11" t="str">
        <f t="shared" si="3"/>
        <v/>
      </c>
    </row>
    <row r="38" spans="1:34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IF(A38="","",IF(COUNTIF('09 - ADOPTION &amp; BENEFITS'!$A$9:$A$58,A38)&gt;1,"DUPLICATE ID ","")&amp;IF(ReviewDate="","SET REVIEW DATE ","")&amp;IF(OR(O38="",O38&lt;=0),"DENOMINATOR MISSING OR ZERO ","")&amp;IF(AND(ISNUMBER(P38),ISNUMBER(O38),OR(P38&lt;0,P38&gt;O38)),"INVALID NUMERATOR ","")&amp;IF(R38="","NO BASELINE ","")&amp;IF(AND(S38&lt;&gt;"",OR(AD38="",AND(ISNUMBER(AE38),AE38&lt;AD38))),"TARGET BEFORE BASELINE ","")&amp;IF(K38="","OUTCOME OWNER MISSING ","")&amp;IF(AB38&lt;&gt;"Yes","HANDOVER NOT RECORDED ","")&amp;IF(AND(AF38="Improving",AG38="Flat"),"ADOPTION UP OUTCOME FLAT ","")&amp;IF(AND(AG38="Improving",Z38=""),"ATTRIBUTION UNCERTAIN ","")&amp;IF(AND(ISNUMBER(AH38),AH38&lt;ObservationDays),"OBSERVATION WINDOW INCOMPLETE ",""))</f>
        <v/>
      </c>
      <c r="H38" s="11" t="str">
        <f t="shared" si="1"/>
        <v/>
      </c>
      <c r="I38" s="8"/>
      <c r="J38" s="8"/>
      <c r="K38" s="8"/>
      <c r="L38" s="8"/>
      <c r="M38" s="8"/>
      <c r="N38" s="8"/>
      <c r="O38" s="8"/>
      <c r="P38" s="8"/>
      <c r="Q38" s="13" t="str">
        <f t="shared" si="2"/>
        <v/>
      </c>
      <c r="R38" s="8"/>
      <c r="S38" s="8"/>
      <c r="T38" s="9"/>
      <c r="U38" s="8"/>
      <c r="V38" s="8"/>
      <c r="W38" s="8"/>
      <c r="X38" s="8"/>
      <c r="Y38" s="8"/>
      <c r="Z38" s="8"/>
      <c r="AA38" s="8"/>
      <c r="AB38" s="8"/>
      <c r="AC38" s="9"/>
      <c r="AD38" s="9"/>
      <c r="AE38" s="9"/>
      <c r="AF38" s="8"/>
      <c r="AG38" s="8"/>
      <c r="AH38" s="11" t="str">
        <f t="shared" si="3"/>
        <v/>
      </c>
    </row>
    <row r="39" spans="1:34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IF(A39="","",IF(COUNTIF('09 - ADOPTION &amp; BENEFITS'!$A$9:$A$58,A39)&gt;1,"DUPLICATE ID ","")&amp;IF(ReviewDate="","SET REVIEW DATE ","")&amp;IF(OR(O39="",O39&lt;=0),"DENOMINATOR MISSING OR ZERO ","")&amp;IF(AND(ISNUMBER(P39),ISNUMBER(O39),OR(P39&lt;0,P39&gt;O39)),"INVALID NUMERATOR ","")&amp;IF(R39="","NO BASELINE ","")&amp;IF(AND(S39&lt;&gt;"",OR(AD39="",AND(ISNUMBER(AE39),AE39&lt;AD39))),"TARGET BEFORE BASELINE ","")&amp;IF(K39="","OUTCOME OWNER MISSING ","")&amp;IF(AB39&lt;&gt;"Yes","HANDOVER NOT RECORDED ","")&amp;IF(AND(AF39="Improving",AG39="Flat"),"ADOPTION UP OUTCOME FLAT ","")&amp;IF(AND(AG39="Improving",Z39=""),"ATTRIBUTION UNCERTAIN ","")&amp;IF(AND(ISNUMBER(AH39),AH39&lt;ObservationDays),"OBSERVATION WINDOW INCOMPLETE ",""))</f>
        <v/>
      </c>
      <c r="H39" s="11" t="str">
        <f t="shared" si="1"/>
        <v/>
      </c>
      <c r="I39" s="8"/>
      <c r="J39" s="8"/>
      <c r="K39" s="8"/>
      <c r="L39" s="8"/>
      <c r="M39" s="8"/>
      <c r="N39" s="8"/>
      <c r="O39" s="8"/>
      <c r="P39" s="8"/>
      <c r="Q39" s="13" t="str">
        <f t="shared" si="2"/>
        <v/>
      </c>
      <c r="R39" s="8"/>
      <c r="S39" s="8"/>
      <c r="T39" s="9"/>
      <c r="U39" s="8"/>
      <c r="V39" s="8"/>
      <c r="W39" s="8"/>
      <c r="X39" s="8"/>
      <c r="Y39" s="8"/>
      <c r="Z39" s="8"/>
      <c r="AA39" s="8"/>
      <c r="AB39" s="8"/>
      <c r="AC39" s="9"/>
      <c r="AD39" s="9"/>
      <c r="AE39" s="9"/>
      <c r="AF39" s="8"/>
      <c r="AG39" s="8"/>
      <c r="AH39" s="11" t="str">
        <f t="shared" si="3"/>
        <v/>
      </c>
    </row>
    <row r="40" spans="1:34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IF(A40="","",IF(COUNTIF('09 - ADOPTION &amp; BENEFITS'!$A$9:$A$58,A40)&gt;1,"DUPLICATE ID ","")&amp;IF(ReviewDate="","SET REVIEW DATE ","")&amp;IF(OR(O40="",O40&lt;=0),"DENOMINATOR MISSING OR ZERO ","")&amp;IF(AND(ISNUMBER(P40),ISNUMBER(O40),OR(P40&lt;0,P40&gt;O40)),"INVALID NUMERATOR ","")&amp;IF(R40="","NO BASELINE ","")&amp;IF(AND(S40&lt;&gt;"",OR(AD40="",AND(ISNUMBER(AE40),AE40&lt;AD40))),"TARGET BEFORE BASELINE ","")&amp;IF(K40="","OUTCOME OWNER MISSING ","")&amp;IF(AB40&lt;&gt;"Yes","HANDOVER NOT RECORDED ","")&amp;IF(AND(AF40="Improving",AG40="Flat"),"ADOPTION UP OUTCOME FLAT ","")&amp;IF(AND(AG40="Improving",Z40=""),"ATTRIBUTION UNCERTAIN ","")&amp;IF(AND(ISNUMBER(AH40),AH40&lt;ObservationDays),"OBSERVATION WINDOW INCOMPLETE ",""))</f>
        <v/>
      </c>
      <c r="H40" s="11" t="str">
        <f t="shared" si="1"/>
        <v/>
      </c>
      <c r="I40" s="8"/>
      <c r="J40" s="8"/>
      <c r="K40" s="8"/>
      <c r="L40" s="8"/>
      <c r="M40" s="8"/>
      <c r="N40" s="8"/>
      <c r="O40" s="8"/>
      <c r="P40" s="8"/>
      <c r="Q40" s="13" t="str">
        <f t="shared" si="2"/>
        <v/>
      </c>
      <c r="R40" s="8"/>
      <c r="S40" s="8"/>
      <c r="T40" s="9"/>
      <c r="U40" s="8"/>
      <c r="V40" s="8"/>
      <c r="W40" s="8"/>
      <c r="X40" s="8"/>
      <c r="Y40" s="8"/>
      <c r="Z40" s="8"/>
      <c r="AA40" s="8"/>
      <c r="AB40" s="8"/>
      <c r="AC40" s="9"/>
      <c r="AD40" s="9"/>
      <c r="AE40" s="9"/>
      <c r="AF40" s="8"/>
      <c r="AG40" s="8"/>
      <c r="AH40" s="11" t="str">
        <f t="shared" si="3"/>
        <v/>
      </c>
    </row>
    <row r="41" spans="1:34" ht="60" customHeight="1">
      <c r="A41" s="8"/>
      <c r="B41" s="8"/>
      <c r="C41" s="8"/>
      <c r="D41" s="8"/>
      <c r="E41" s="9"/>
      <c r="F41" s="11" t="str">
        <f t="shared" ref="F41:F58" si="4">IF(A41="","",IF(FALSE,"Critical",IF(G41&lt;&gt;"","Review","Routine")))</f>
        <v/>
      </c>
      <c r="G41" s="20" t="str">
        <f>IF(A41="","",IF(COUNTIF('09 - ADOPTION &amp; BENEFITS'!$A$9:$A$58,A41)&gt;1,"DUPLICATE ID ","")&amp;IF(ReviewDate="","SET REVIEW DATE ","")&amp;IF(OR(O41="",O41&lt;=0),"DENOMINATOR MISSING OR ZERO ","")&amp;IF(AND(ISNUMBER(P41),ISNUMBER(O41),OR(P41&lt;0,P41&gt;O41)),"INVALID NUMERATOR ","")&amp;IF(R41="","NO BASELINE ","")&amp;IF(AND(S41&lt;&gt;"",OR(AD41="",AND(ISNUMBER(AE41),AE41&lt;AD41))),"TARGET BEFORE BASELINE ","")&amp;IF(K41="","OUTCOME OWNER MISSING ","")&amp;IF(AB41&lt;&gt;"Yes","HANDOVER NOT RECORDED ","")&amp;IF(AND(AF41="Improving",AG41="Flat"),"ADOPTION UP OUTCOME FLAT ","")&amp;IF(AND(AG41="Improving",Z41=""),"ATTRIBUTION UNCERTAIN ","")&amp;IF(AND(ISNUMBER(AH41),AH41&lt;ObservationDays),"OBSERVATION WINDOW INCOMPLETE ",""))</f>
        <v/>
      </c>
      <c r="H41" s="11" t="str">
        <f t="shared" ref="H41:H58" si="5">IF(A41="","",IF(OR(O41="",O41&lt;=0),"Define eligible cohort before reporting adoption percentage.",IF(AA41&lt;&gt;"",AA41,"Review outcome evidence, ownership and alternative explanations.")))</f>
        <v/>
      </c>
      <c r="I41" s="8"/>
      <c r="J41" s="8"/>
      <c r="K41" s="8"/>
      <c r="L41" s="8"/>
      <c r="M41" s="8"/>
      <c r="N41" s="8"/>
      <c r="O41" s="8"/>
      <c r="P41" s="8"/>
      <c r="Q41" s="13" t="str">
        <f t="shared" ref="Q41:Q58" si="6">IF(A41="","",IF(AND(ISNUMBER(O41),O41&gt;0,ISNUMBER(P41),P41&gt;=0,P41&lt;=O41),P41/O41,""))</f>
        <v/>
      </c>
      <c r="R41" s="8"/>
      <c r="S41" s="8"/>
      <c r="T41" s="9"/>
      <c r="U41" s="8"/>
      <c r="V41" s="8"/>
      <c r="W41" s="8"/>
      <c r="X41" s="8"/>
      <c r="Y41" s="8"/>
      <c r="Z41" s="8"/>
      <c r="AA41" s="8"/>
      <c r="AB41" s="8"/>
      <c r="AC41" s="9"/>
      <c r="AD41" s="9"/>
      <c r="AE41" s="9"/>
      <c r="AF41" s="8"/>
      <c r="AG41" s="8"/>
      <c r="AH41" s="11" t="str">
        <f t="shared" ref="AH41:AH58" si="7">IF(A41="","",IF(ISNUMBER(T41),MAX(0,IF(ISNUMBER(U41),U41,ReviewDate)-T41),""))</f>
        <v/>
      </c>
    </row>
    <row r="42" spans="1:34" ht="60" customHeight="1">
      <c r="A42" s="8"/>
      <c r="B42" s="8"/>
      <c r="C42" s="8"/>
      <c r="D42" s="8"/>
      <c r="E42" s="9"/>
      <c r="F42" s="11" t="str">
        <f t="shared" si="4"/>
        <v/>
      </c>
      <c r="G42" s="20" t="str">
        <f>IF(A42="","",IF(COUNTIF('09 - ADOPTION &amp; BENEFITS'!$A$9:$A$58,A42)&gt;1,"DUPLICATE ID ","")&amp;IF(ReviewDate="","SET REVIEW DATE ","")&amp;IF(OR(O42="",O42&lt;=0),"DENOMINATOR MISSING OR ZERO ","")&amp;IF(AND(ISNUMBER(P42),ISNUMBER(O42),OR(P42&lt;0,P42&gt;O42)),"INVALID NUMERATOR ","")&amp;IF(R42="","NO BASELINE ","")&amp;IF(AND(S42&lt;&gt;"",OR(AD42="",AND(ISNUMBER(AE42),AE42&lt;AD42))),"TARGET BEFORE BASELINE ","")&amp;IF(K42="","OUTCOME OWNER MISSING ","")&amp;IF(AB42&lt;&gt;"Yes","HANDOVER NOT RECORDED ","")&amp;IF(AND(AF42="Improving",AG42="Flat"),"ADOPTION UP OUTCOME FLAT ","")&amp;IF(AND(AG42="Improving",Z42=""),"ATTRIBUTION UNCERTAIN ","")&amp;IF(AND(ISNUMBER(AH42),AH42&lt;ObservationDays),"OBSERVATION WINDOW INCOMPLETE ",""))</f>
        <v/>
      </c>
      <c r="H42" s="11" t="str">
        <f t="shared" si="5"/>
        <v/>
      </c>
      <c r="I42" s="8"/>
      <c r="J42" s="8"/>
      <c r="K42" s="8"/>
      <c r="L42" s="8"/>
      <c r="M42" s="8"/>
      <c r="N42" s="8"/>
      <c r="O42" s="8"/>
      <c r="P42" s="8"/>
      <c r="Q42" s="13" t="str">
        <f t="shared" si="6"/>
        <v/>
      </c>
      <c r="R42" s="8"/>
      <c r="S42" s="8"/>
      <c r="T42" s="9"/>
      <c r="U42" s="8"/>
      <c r="V42" s="8"/>
      <c r="W42" s="8"/>
      <c r="X42" s="8"/>
      <c r="Y42" s="8"/>
      <c r="Z42" s="8"/>
      <c r="AA42" s="8"/>
      <c r="AB42" s="8"/>
      <c r="AC42" s="9"/>
      <c r="AD42" s="9"/>
      <c r="AE42" s="9"/>
      <c r="AF42" s="8"/>
      <c r="AG42" s="8"/>
      <c r="AH42" s="11" t="str">
        <f t="shared" si="7"/>
        <v/>
      </c>
    </row>
    <row r="43" spans="1:34" ht="60" customHeight="1">
      <c r="A43" s="8"/>
      <c r="B43" s="8"/>
      <c r="C43" s="8"/>
      <c r="D43" s="8"/>
      <c r="E43" s="9"/>
      <c r="F43" s="11" t="str">
        <f t="shared" si="4"/>
        <v/>
      </c>
      <c r="G43" s="20" t="str">
        <f>IF(A43="","",IF(COUNTIF('09 - ADOPTION &amp; BENEFITS'!$A$9:$A$58,A43)&gt;1,"DUPLICATE ID ","")&amp;IF(ReviewDate="","SET REVIEW DATE ","")&amp;IF(OR(O43="",O43&lt;=0),"DENOMINATOR MISSING OR ZERO ","")&amp;IF(AND(ISNUMBER(P43),ISNUMBER(O43),OR(P43&lt;0,P43&gt;O43)),"INVALID NUMERATOR ","")&amp;IF(R43="","NO BASELINE ","")&amp;IF(AND(S43&lt;&gt;"",OR(AD43="",AND(ISNUMBER(AE43),AE43&lt;AD43))),"TARGET BEFORE BASELINE ","")&amp;IF(K43="","OUTCOME OWNER MISSING ","")&amp;IF(AB43&lt;&gt;"Yes","HANDOVER NOT RECORDED ","")&amp;IF(AND(AF43="Improving",AG43="Flat"),"ADOPTION UP OUTCOME FLAT ","")&amp;IF(AND(AG43="Improving",Z43=""),"ATTRIBUTION UNCERTAIN ","")&amp;IF(AND(ISNUMBER(AH43),AH43&lt;ObservationDays),"OBSERVATION WINDOW INCOMPLETE ",""))</f>
        <v/>
      </c>
      <c r="H43" s="11" t="str">
        <f t="shared" si="5"/>
        <v/>
      </c>
      <c r="I43" s="8"/>
      <c r="J43" s="8"/>
      <c r="K43" s="8"/>
      <c r="L43" s="8"/>
      <c r="M43" s="8"/>
      <c r="N43" s="8"/>
      <c r="O43" s="8"/>
      <c r="P43" s="8"/>
      <c r="Q43" s="13" t="str">
        <f t="shared" si="6"/>
        <v/>
      </c>
      <c r="R43" s="8"/>
      <c r="S43" s="8"/>
      <c r="T43" s="9"/>
      <c r="U43" s="8"/>
      <c r="V43" s="8"/>
      <c r="W43" s="8"/>
      <c r="X43" s="8"/>
      <c r="Y43" s="8"/>
      <c r="Z43" s="8"/>
      <c r="AA43" s="8"/>
      <c r="AB43" s="8"/>
      <c r="AC43" s="9"/>
      <c r="AD43" s="9"/>
      <c r="AE43" s="9"/>
      <c r="AF43" s="8"/>
      <c r="AG43" s="8"/>
      <c r="AH43" s="11" t="str">
        <f t="shared" si="7"/>
        <v/>
      </c>
    </row>
    <row r="44" spans="1:34" ht="60" customHeight="1">
      <c r="A44" s="8"/>
      <c r="B44" s="8"/>
      <c r="C44" s="8"/>
      <c r="D44" s="8"/>
      <c r="E44" s="9"/>
      <c r="F44" s="11" t="str">
        <f t="shared" si="4"/>
        <v/>
      </c>
      <c r="G44" s="20" t="str">
        <f>IF(A44="","",IF(COUNTIF('09 - ADOPTION &amp; BENEFITS'!$A$9:$A$58,A44)&gt;1,"DUPLICATE ID ","")&amp;IF(ReviewDate="","SET REVIEW DATE ","")&amp;IF(OR(O44="",O44&lt;=0),"DENOMINATOR MISSING OR ZERO ","")&amp;IF(AND(ISNUMBER(P44),ISNUMBER(O44),OR(P44&lt;0,P44&gt;O44)),"INVALID NUMERATOR ","")&amp;IF(R44="","NO BASELINE ","")&amp;IF(AND(S44&lt;&gt;"",OR(AD44="",AND(ISNUMBER(AE44),AE44&lt;AD44))),"TARGET BEFORE BASELINE ","")&amp;IF(K44="","OUTCOME OWNER MISSING ","")&amp;IF(AB44&lt;&gt;"Yes","HANDOVER NOT RECORDED ","")&amp;IF(AND(AF44="Improving",AG44="Flat"),"ADOPTION UP OUTCOME FLAT ","")&amp;IF(AND(AG44="Improving",Z44=""),"ATTRIBUTION UNCERTAIN ","")&amp;IF(AND(ISNUMBER(AH44),AH44&lt;ObservationDays),"OBSERVATION WINDOW INCOMPLETE ",""))</f>
        <v/>
      </c>
      <c r="H44" s="11" t="str">
        <f t="shared" si="5"/>
        <v/>
      </c>
      <c r="I44" s="8"/>
      <c r="J44" s="8"/>
      <c r="K44" s="8"/>
      <c r="L44" s="8"/>
      <c r="M44" s="8"/>
      <c r="N44" s="8"/>
      <c r="O44" s="8"/>
      <c r="P44" s="8"/>
      <c r="Q44" s="13" t="str">
        <f t="shared" si="6"/>
        <v/>
      </c>
      <c r="R44" s="8"/>
      <c r="S44" s="8"/>
      <c r="T44" s="9"/>
      <c r="U44" s="8"/>
      <c r="V44" s="8"/>
      <c r="W44" s="8"/>
      <c r="X44" s="8"/>
      <c r="Y44" s="8"/>
      <c r="Z44" s="8"/>
      <c r="AA44" s="8"/>
      <c r="AB44" s="8"/>
      <c r="AC44" s="9"/>
      <c r="AD44" s="9"/>
      <c r="AE44" s="9"/>
      <c r="AF44" s="8"/>
      <c r="AG44" s="8"/>
      <c r="AH44" s="11" t="str">
        <f t="shared" si="7"/>
        <v/>
      </c>
    </row>
    <row r="45" spans="1:34" ht="60" customHeight="1">
      <c r="A45" s="8"/>
      <c r="B45" s="8"/>
      <c r="C45" s="8"/>
      <c r="D45" s="8"/>
      <c r="E45" s="9"/>
      <c r="F45" s="11" t="str">
        <f t="shared" si="4"/>
        <v/>
      </c>
      <c r="G45" s="20" t="str">
        <f>IF(A45="","",IF(COUNTIF('09 - ADOPTION &amp; BENEFITS'!$A$9:$A$58,A45)&gt;1,"DUPLICATE ID ","")&amp;IF(ReviewDate="","SET REVIEW DATE ","")&amp;IF(OR(O45="",O45&lt;=0),"DENOMINATOR MISSING OR ZERO ","")&amp;IF(AND(ISNUMBER(P45),ISNUMBER(O45),OR(P45&lt;0,P45&gt;O45)),"INVALID NUMERATOR ","")&amp;IF(R45="","NO BASELINE ","")&amp;IF(AND(S45&lt;&gt;"",OR(AD45="",AND(ISNUMBER(AE45),AE45&lt;AD45))),"TARGET BEFORE BASELINE ","")&amp;IF(K45="","OUTCOME OWNER MISSING ","")&amp;IF(AB45&lt;&gt;"Yes","HANDOVER NOT RECORDED ","")&amp;IF(AND(AF45="Improving",AG45="Flat"),"ADOPTION UP OUTCOME FLAT ","")&amp;IF(AND(AG45="Improving",Z45=""),"ATTRIBUTION UNCERTAIN ","")&amp;IF(AND(ISNUMBER(AH45),AH45&lt;ObservationDays),"OBSERVATION WINDOW INCOMPLETE ",""))</f>
        <v/>
      </c>
      <c r="H45" s="11" t="str">
        <f t="shared" si="5"/>
        <v/>
      </c>
      <c r="I45" s="8"/>
      <c r="J45" s="8"/>
      <c r="K45" s="8"/>
      <c r="L45" s="8"/>
      <c r="M45" s="8"/>
      <c r="N45" s="8"/>
      <c r="O45" s="8"/>
      <c r="P45" s="8"/>
      <c r="Q45" s="13" t="str">
        <f t="shared" si="6"/>
        <v/>
      </c>
      <c r="R45" s="8"/>
      <c r="S45" s="8"/>
      <c r="T45" s="9"/>
      <c r="U45" s="8"/>
      <c r="V45" s="8"/>
      <c r="W45" s="8"/>
      <c r="X45" s="8"/>
      <c r="Y45" s="8"/>
      <c r="Z45" s="8"/>
      <c r="AA45" s="8"/>
      <c r="AB45" s="8"/>
      <c r="AC45" s="9"/>
      <c r="AD45" s="9"/>
      <c r="AE45" s="9"/>
      <c r="AF45" s="8"/>
      <c r="AG45" s="8"/>
      <c r="AH45" s="11" t="str">
        <f t="shared" si="7"/>
        <v/>
      </c>
    </row>
    <row r="46" spans="1:34" ht="60" customHeight="1">
      <c r="A46" s="8"/>
      <c r="B46" s="8"/>
      <c r="C46" s="8"/>
      <c r="D46" s="8"/>
      <c r="E46" s="9"/>
      <c r="F46" s="11" t="str">
        <f t="shared" si="4"/>
        <v/>
      </c>
      <c r="G46" s="20" t="str">
        <f>IF(A46="","",IF(COUNTIF('09 - ADOPTION &amp; BENEFITS'!$A$9:$A$58,A46)&gt;1,"DUPLICATE ID ","")&amp;IF(ReviewDate="","SET REVIEW DATE ","")&amp;IF(OR(O46="",O46&lt;=0),"DENOMINATOR MISSING OR ZERO ","")&amp;IF(AND(ISNUMBER(P46),ISNUMBER(O46),OR(P46&lt;0,P46&gt;O46)),"INVALID NUMERATOR ","")&amp;IF(R46="","NO BASELINE ","")&amp;IF(AND(S46&lt;&gt;"",OR(AD46="",AND(ISNUMBER(AE46),AE46&lt;AD46))),"TARGET BEFORE BASELINE ","")&amp;IF(K46="","OUTCOME OWNER MISSING ","")&amp;IF(AB46&lt;&gt;"Yes","HANDOVER NOT RECORDED ","")&amp;IF(AND(AF46="Improving",AG46="Flat"),"ADOPTION UP OUTCOME FLAT ","")&amp;IF(AND(AG46="Improving",Z46=""),"ATTRIBUTION UNCERTAIN ","")&amp;IF(AND(ISNUMBER(AH46),AH46&lt;ObservationDays),"OBSERVATION WINDOW INCOMPLETE ",""))</f>
        <v/>
      </c>
      <c r="H46" s="11" t="str">
        <f t="shared" si="5"/>
        <v/>
      </c>
      <c r="I46" s="8"/>
      <c r="J46" s="8"/>
      <c r="K46" s="8"/>
      <c r="L46" s="8"/>
      <c r="M46" s="8"/>
      <c r="N46" s="8"/>
      <c r="O46" s="8"/>
      <c r="P46" s="8"/>
      <c r="Q46" s="13" t="str">
        <f t="shared" si="6"/>
        <v/>
      </c>
      <c r="R46" s="8"/>
      <c r="S46" s="8"/>
      <c r="T46" s="9"/>
      <c r="U46" s="8"/>
      <c r="V46" s="8"/>
      <c r="W46" s="8"/>
      <c r="X46" s="8"/>
      <c r="Y46" s="8"/>
      <c r="Z46" s="8"/>
      <c r="AA46" s="8"/>
      <c r="AB46" s="8"/>
      <c r="AC46" s="9"/>
      <c r="AD46" s="9"/>
      <c r="AE46" s="9"/>
      <c r="AF46" s="8"/>
      <c r="AG46" s="8"/>
      <c r="AH46" s="11" t="str">
        <f t="shared" si="7"/>
        <v/>
      </c>
    </row>
    <row r="47" spans="1:34" ht="60" customHeight="1">
      <c r="A47" s="8"/>
      <c r="B47" s="8"/>
      <c r="C47" s="8"/>
      <c r="D47" s="8"/>
      <c r="E47" s="9"/>
      <c r="F47" s="11" t="str">
        <f t="shared" si="4"/>
        <v/>
      </c>
      <c r="G47" s="20" t="str">
        <f>IF(A47="","",IF(COUNTIF('09 - ADOPTION &amp; BENEFITS'!$A$9:$A$58,A47)&gt;1,"DUPLICATE ID ","")&amp;IF(ReviewDate="","SET REVIEW DATE ","")&amp;IF(OR(O47="",O47&lt;=0),"DENOMINATOR MISSING OR ZERO ","")&amp;IF(AND(ISNUMBER(P47),ISNUMBER(O47),OR(P47&lt;0,P47&gt;O47)),"INVALID NUMERATOR ","")&amp;IF(R47="","NO BASELINE ","")&amp;IF(AND(S47&lt;&gt;"",OR(AD47="",AND(ISNUMBER(AE47),AE47&lt;AD47))),"TARGET BEFORE BASELINE ","")&amp;IF(K47="","OUTCOME OWNER MISSING ","")&amp;IF(AB47&lt;&gt;"Yes","HANDOVER NOT RECORDED ","")&amp;IF(AND(AF47="Improving",AG47="Flat"),"ADOPTION UP OUTCOME FLAT ","")&amp;IF(AND(AG47="Improving",Z47=""),"ATTRIBUTION UNCERTAIN ","")&amp;IF(AND(ISNUMBER(AH47),AH47&lt;ObservationDays),"OBSERVATION WINDOW INCOMPLETE ",""))</f>
        <v/>
      </c>
      <c r="H47" s="11" t="str">
        <f t="shared" si="5"/>
        <v/>
      </c>
      <c r="I47" s="8"/>
      <c r="J47" s="8"/>
      <c r="K47" s="8"/>
      <c r="L47" s="8"/>
      <c r="M47" s="8"/>
      <c r="N47" s="8"/>
      <c r="O47" s="8"/>
      <c r="P47" s="8"/>
      <c r="Q47" s="13" t="str">
        <f t="shared" si="6"/>
        <v/>
      </c>
      <c r="R47" s="8"/>
      <c r="S47" s="8"/>
      <c r="T47" s="9"/>
      <c r="U47" s="8"/>
      <c r="V47" s="8"/>
      <c r="W47" s="8"/>
      <c r="X47" s="8"/>
      <c r="Y47" s="8"/>
      <c r="Z47" s="8"/>
      <c r="AA47" s="8"/>
      <c r="AB47" s="8"/>
      <c r="AC47" s="9"/>
      <c r="AD47" s="9"/>
      <c r="AE47" s="9"/>
      <c r="AF47" s="8"/>
      <c r="AG47" s="8"/>
      <c r="AH47" s="11" t="str">
        <f t="shared" si="7"/>
        <v/>
      </c>
    </row>
    <row r="48" spans="1:34" ht="60" customHeight="1">
      <c r="A48" s="8"/>
      <c r="B48" s="8"/>
      <c r="C48" s="8"/>
      <c r="D48" s="8"/>
      <c r="E48" s="9"/>
      <c r="F48" s="11" t="str">
        <f t="shared" si="4"/>
        <v/>
      </c>
      <c r="G48" s="20" t="str">
        <f>IF(A48="","",IF(COUNTIF('09 - ADOPTION &amp; BENEFITS'!$A$9:$A$58,A48)&gt;1,"DUPLICATE ID ","")&amp;IF(ReviewDate="","SET REVIEW DATE ","")&amp;IF(OR(O48="",O48&lt;=0),"DENOMINATOR MISSING OR ZERO ","")&amp;IF(AND(ISNUMBER(P48),ISNUMBER(O48),OR(P48&lt;0,P48&gt;O48)),"INVALID NUMERATOR ","")&amp;IF(R48="","NO BASELINE ","")&amp;IF(AND(S48&lt;&gt;"",OR(AD48="",AND(ISNUMBER(AE48),AE48&lt;AD48))),"TARGET BEFORE BASELINE ","")&amp;IF(K48="","OUTCOME OWNER MISSING ","")&amp;IF(AB48&lt;&gt;"Yes","HANDOVER NOT RECORDED ","")&amp;IF(AND(AF48="Improving",AG48="Flat"),"ADOPTION UP OUTCOME FLAT ","")&amp;IF(AND(AG48="Improving",Z48=""),"ATTRIBUTION UNCERTAIN ","")&amp;IF(AND(ISNUMBER(AH48),AH48&lt;ObservationDays),"OBSERVATION WINDOW INCOMPLETE ",""))</f>
        <v/>
      </c>
      <c r="H48" s="11" t="str">
        <f t="shared" si="5"/>
        <v/>
      </c>
      <c r="I48" s="8"/>
      <c r="J48" s="8"/>
      <c r="K48" s="8"/>
      <c r="L48" s="8"/>
      <c r="M48" s="8"/>
      <c r="N48" s="8"/>
      <c r="O48" s="8"/>
      <c r="P48" s="8"/>
      <c r="Q48" s="13" t="str">
        <f t="shared" si="6"/>
        <v/>
      </c>
      <c r="R48" s="8"/>
      <c r="S48" s="8"/>
      <c r="T48" s="9"/>
      <c r="U48" s="8"/>
      <c r="V48" s="8"/>
      <c r="W48" s="8"/>
      <c r="X48" s="8"/>
      <c r="Y48" s="8"/>
      <c r="Z48" s="8"/>
      <c r="AA48" s="8"/>
      <c r="AB48" s="8"/>
      <c r="AC48" s="9"/>
      <c r="AD48" s="9"/>
      <c r="AE48" s="9"/>
      <c r="AF48" s="8"/>
      <c r="AG48" s="8"/>
      <c r="AH48" s="11" t="str">
        <f t="shared" si="7"/>
        <v/>
      </c>
    </row>
    <row r="49" spans="1:34" ht="60" customHeight="1">
      <c r="A49" s="8"/>
      <c r="B49" s="8"/>
      <c r="C49" s="8"/>
      <c r="D49" s="8"/>
      <c r="E49" s="9"/>
      <c r="F49" s="11" t="str">
        <f t="shared" si="4"/>
        <v/>
      </c>
      <c r="G49" s="20" t="str">
        <f>IF(A49="","",IF(COUNTIF('09 - ADOPTION &amp; BENEFITS'!$A$9:$A$58,A49)&gt;1,"DUPLICATE ID ","")&amp;IF(ReviewDate="","SET REVIEW DATE ","")&amp;IF(OR(O49="",O49&lt;=0),"DENOMINATOR MISSING OR ZERO ","")&amp;IF(AND(ISNUMBER(P49),ISNUMBER(O49),OR(P49&lt;0,P49&gt;O49)),"INVALID NUMERATOR ","")&amp;IF(R49="","NO BASELINE ","")&amp;IF(AND(S49&lt;&gt;"",OR(AD49="",AND(ISNUMBER(AE49),AE49&lt;AD49))),"TARGET BEFORE BASELINE ","")&amp;IF(K49="","OUTCOME OWNER MISSING ","")&amp;IF(AB49&lt;&gt;"Yes","HANDOVER NOT RECORDED ","")&amp;IF(AND(AF49="Improving",AG49="Flat"),"ADOPTION UP OUTCOME FLAT ","")&amp;IF(AND(AG49="Improving",Z49=""),"ATTRIBUTION UNCERTAIN ","")&amp;IF(AND(ISNUMBER(AH49),AH49&lt;ObservationDays),"OBSERVATION WINDOW INCOMPLETE ",""))</f>
        <v/>
      </c>
      <c r="H49" s="11" t="str">
        <f t="shared" si="5"/>
        <v/>
      </c>
      <c r="I49" s="8"/>
      <c r="J49" s="8"/>
      <c r="K49" s="8"/>
      <c r="L49" s="8"/>
      <c r="M49" s="8"/>
      <c r="N49" s="8"/>
      <c r="O49" s="8"/>
      <c r="P49" s="8"/>
      <c r="Q49" s="13" t="str">
        <f t="shared" si="6"/>
        <v/>
      </c>
      <c r="R49" s="8"/>
      <c r="S49" s="8"/>
      <c r="T49" s="9"/>
      <c r="U49" s="8"/>
      <c r="V49" s="8"/>
      <c r="W49" s="8"/>
      <c r="X49" s="8"/>
      <c r="Y49" s="8"/>
      <c r="Z49" s="8"/>
      <c r="AA49" s="8"/>
      <c r="AB49" s="8"/>
      <c r="AC49" s="9"/>
      <c r="AD49" s="9"/>
      <c r="AE49" s="9"/>
      <c r="AF49" s="8"/>
      <c r="AG49" s="8"/>
      <c r="AH49" s="11" t="str">
        <f t="shared" si="7"/>
        <v/>
      </c>
    </row>
    <row r="50" spans="1:34" ht="60" customHeight="1">
      <c r="A50" s="8"/>
      <c r="B50" s="8"/>
      <c r="C50" s="8"/>
      <c r="D50" s="8"/>
      <c r="E50" s="9"/>
      <c r="F50" s="11" t="str">
        <f t="shared" si="4"/>
        <v/>
      </c>
      <c r="G50" s="20" t="str">
        <f>IF(A50="","",IF(COUNTIF('09 - ADOPTION &amp; BENEFITS'!$A$9:$A$58,A50)&gt;1,"DUPLICATE ID ","")&amp;IF(ReviewDate="","SET REVIEW DATE ","")&amp;IF(OR(O50="",O50&lt;=0),"DENOMINATOR MISSING OR ZERO ","")&amp;IF(AND(ISNUMBER(P50),ISNUMBER(O50),OR(P50&lt;0,P50&gt;O50)),"INVALID NUMERATOR ","")&amp;IF(R50="","NO BASELINE ","")&amp;IF(AND(S50&lt;&gt;"",OR(AD50="",AND(ISNUMBER(AE50),AE50&lt;AD50))),"TARGET BEFORE BASELINE ","")&amp;IF(K50="","OUTCOME OWNER MISSING ","")&amp;IF(AB50&lt;&gt;"Yes","HANDOVER NOT RECORDED ","")&amp;IF(AND(AF50="Improving",AG50="Flat"),"ADOPTION UP OUTCOME FLAT ","")&amp;IF(AND(AG50="Improving",Z50=""),"ATTRIBUTION UNCERTAIN ","")&amp;IF(AND(ISNUMBER(AH50),AH50&lt;ObservationDays),"OBSERVATION WINDOW INCOMPLETE ",""))</f>
        <v/>
      </c>
      <c r="H50" s="11" t="str">
        <f t="shared" si="5"/>
        <v/>
      </c>
      <c r="I50" s="8"/>
      <c r="J50" s="8"/>
      <c r="K50" s="8"/>
      <c r="L50" s="8"/>
      <c r="M50" s="8"/>
      <c r="N50" s="8"/>
      <c r="O50" s="8"/>
      <c r="P50" s="8"/>
      <c r="Q50" s="13" t="str">
        <f t="shared" si="6"/>
        <v/>
      </c>
      <c r="R50" s="8"/>
      <c r="S50" s="8"/>
      <c r="T50" s="9"/>
      <c r="U50" s="8"/>
      <c r="V50" s="8"/>
      <c r="W50" s="8"/>
      <c r="X50" s="8"/>
      <c r="Y50" s="8"/>
      <c r="Z50" s="8"/>
      <c r="AA50" s="8"/>
      <c r="AB50" s="8"/>
      <c r="AC50" s="9"/>
      <c r="AD50" s="9"/>
      <c r="AE50" s="9"/>
      <c r="AF50" s="8"/>
      <c r="AG50" s="8"/>
      <c r="AH50" s="11" t="str">
        <f t="shared" si="7"/>
        <v/>
      </c>
    </row>
    <row r="51" spans="1:34" ht="60" customHeight="1">
      <c r="A51" s="8"/>
      <c r="B51" s="8"/>
      <c r="C51" s="8"/>
      <c r="D51" s="8"/>
      <c r="E51" s="9"/>
      <c r="F51" s="11" t="str">
        <f t="shared" si="4"/>
        <v/>
      </c>
      <c r="G51" s="20" t="str">
        <f>IF(A51="","",IF(COUNTIF('09 - ADOPTION &amp; BENEFITS'!$A$9:$A$58,A51)&gt;1,"DUPLICATE ID ","")&amp;IF(ReviewDate="","SET REVIEW DATE ","")&amp;IF(OR(O51="",O51&lt;=0),"DENOMINATOR MISSING OR ZERO ","")&amp;IF(AND(ISNUMBER(P51),ISNUMBER(O51),OR(P51&lt;0,P51&gt;O51)),"INVALID NUMERATOR ","")&amp;IF(R51="","NO BASELINE ","")&amp;IF(AND(S51&lt;&gt;"",OR(AD51="",AND(ISNUMBER(AE51),AE51&lt;AD51))),"TARGET BEFORE BASELINE ","")&amp;IF(K51="","OUTCOME OWNER MISSING ","")&amp;IF(AB51&lt;&gt;"Yes","HANDOVER NOT RECORDED ","")&amp;IF(AND(AF51="Improving",AG51="Flat"),"ADOPTION UP OUTCOME FLAT ","")&amp;IF(AND(AG51="Improving",Z51=""),"ATTRIBUTION UNCERTAIN ","")&amp;IF(AND(ISNUMBER(AH51),AH51&lt;ObservationDays),"OBSERVATION WINDOW INCOMPLETE ",""))</f>
        <v/>
      </c>
      <c r="H51" s="11" t="str">
        <f t="shared" si="5"/>
        <v/>
      </c>
      <c r="I51" s="8"/>
      <c r="J51" s="8"/>
      <c r="K51" s="8"/>
      <c r="L51" s="8"/>
      <c r="M51" s="8"/>
      <c r="N51" s="8"/>
      <c r="O51" s="8"/>
      <c r="P51" s="8"/>
      <c r="Q51" s="13" t="str">
        <f t="shared" si="6"/>
        <v/>
      </c>
      <c r="R51" s="8"/>
      <c r="S51" s="8"/>
      <c r="T51" s="9"/>
      <c r="U51" s="8"/>
      <c r="V51" s="8"/>
      <c r="W51" s="8"/>
      <c r="X51" s="8"/>
      <c r="Y51" s="8"/>
      <c r="Z51" s="8"/>
      <c r="AA51" s="8"/>
      <c r="AB51" s="8"/>
      <c r="AC51" s="9"/>
      <c r="AD51" s="9"/>
      <c r="AE51" s="9"/>
      <c r="AF51" s="8"/>
      <c r="AG51" s="8"/>
      <c r="AH51" s="11" t="str">
        <f t="shared" si="7"/>
        <v/>
      </c>
    </row>
    <row r="52" spans="1:34" ht="60" customHeight="1">
      <c r="A52" s="8"/>
      <c r="B52" s="8"/>
      <c r="C52" s="8"/>
      <c r="D52" s="8"/>
      <c r="E52" s="9"/>
      <c r="F52" s="11" t="str">
        <f t="shared" si="4"/>
        <v/>
      </c>
      <c r="G52" s="20" t="str">
        <f>IF(A52="","",IF(COUNTIF('09 - ADOPTION &amp; BENEFITS'!$A$9:$A$58,A52)&gt;1,"DUPLICATE ID ","")&amp;IF(ReviewDate="","SET REVIEW DATE ","")&amp;IF(OR(O52="",O52&lt;=0),"DENOMINATOR MISSING OR ZERO ","")&amp;IF(AND(ISNUMBER(P52),ISNUMBER(O52),OR(P52&lt;0,P52&gt;O52)),"INVALID NUMERATOR ","")&amp;IF(R52="","NO BASELINE ","")&amp;IF(AND(S52&lt;&gt;"",OR(AD52="",AND(ISNUMBER(AE52),AE52&lt;AD52))),"TARGET BEFORE BASELINE ","")&amp;IF(K52="","OUTCOME OWNER MISSING ","")&amp;IF(AB52&lt;&gt;"Yes","HANDOVER NOT RECORDED ","")&amp;IF(AND(AF52="Improving",AG52="Flat"),"ADOPTION UP OUTCOME FLAT ","")&amp;IF(AND(AG52="Improving",Z52=""),"ATTRIBUTION UNCERTAIN ","")&amp;IF(AND(ISNUMBER(AH52),AH52&lt;ObservationDays),"OBSERVATION WINDOW INCOMPLETE ",""))</f>
        <v/>
      </c>
      <c r="H52" s="11" t="str">
        <f t="shared" si="5"/>
        <v/>
      </c>
      <c r="I52" s="8"/>
      <c r="J52" s="8"/>
      <c r="K52" s="8"/>
      <c r="L52" s="8"/>
      <c r="M52" s="8"/>
      <c r="N52" s="8"/>
      <c r="O52" s="8"/>
      <c r="P52" s="8"/>
      <c r="Q52" s="13" t="str">
        <f t="shared" si="6"/>
        <v/>
      </c>
      <c r="R52" s="8"/>
      <c r="S52" s="8"/>
      <c r="T52" s="9"/>
      <c r="U52" s="8"/>
      <c r="V52" s="8"/>
      <c r="W52" s="8"/>
      <c r="X52" s="8"/>
      <c r="Y52" s="8"/>
      <c r="Z52" s="8"/>
      <c r="AA52" s="8"/>
      <c r="AB52" s="8"/>
      <c r="AC52" s="9"/>
      <c r="AD52" s="9"/>
      <c r="AE52" s="9"/>
      <c r="AF52" s="8"/>
      <c r="AG52" s="8"/>
      <c r="AH52" s="11" t="str">
        <f t="shared" si="7"/>
        <v/>
      </c>
    </row>
    <row r="53" spans="1:34" ht="60" customHeight="1">
      <c r="A53" s="8"/>
      <c r="B53" s="8"/>
      <c r="C53" s="8"/>
      <c r="D53" s="8"/>
      <c r="E53" s="9"/>
      <c r="F53" s="11" t="str">
        <f t="shared" si="4"/>
        <v/>
      </c>
      <c r="G53" s="20" t="str">
        <f>IF(A53="","",IF(COUNTIF('09 - ADOPTION &amp; BENEFITS'!$A$9:$A$58,A53)&gt;1,"DUPLICATE ID ","")&amp;IF(ReviewDate="","SET REVIEW DATE ","")&amp;IF(OR(O53="",O53&lt;=0),"DENOMINATOR MISSING OR ZERO ","")&amp;IF(AND(ISNUMBER(P53),ISNUMBER(O53),OR(P53&lt;0,P53&gt;O53)),"INVALID NUMERATOR ","")&amp;IF(R53="","NO BASELINE ","")&amp;IF(AND(S53&lt;&gt;"",OR(AD53="",AND(ISNUMBER(AE53),AE53&lt;AD53))),"TARGET BEFORE BASELINE ","")&amp;IF(K53="","OUTCOME OWNER MISSING ","")&amp;IF(AB53&lt;&gt;"Yes","HANDOVER NOT RECORDED ","")&amp;IF(AND(AF53="Improving",AG53="Flat"),"ADOPTION UP OUTCOME FLAT ","")&amp;IF(AND(AG53="Improving",Z53=""),"ATTRIBUTION UNCERTAIN ","")&amp;IF(AND(ISNUMBER(AH53),AH53&lt;ObservationDays),"OBSERVATION WINDOW INCOMPLETE ",""))</f>
        <v/>
      </c>
      <c r="H53" s="11" t="str">
        <f t="shared" si="5"/>
        <v/>
      </c>
      <c r="I53" s="8"/>
      <c r="J53" s="8"/>
      <c r="K53" s="8"/>
      <c r="L53" s="8"/>
      <c r="M53" s="8"/>
      <c r="N53" s="8"/>
      <c r="O53" s="8"/>
      <c r="P53" s="8"/>
      <c r="Q53" s="13" t="str">
        <f t="shared" si="6"/>
        <v/>
      </c>
      <c r="R53" s="8"/>
      <c r="S53" s="8"/>
      <c r="T53" s="9"/>
      <c r="U53" s="8"/>
      <c r="V53" s="8"/>
      <c r="W53" s="8"/>
      <c r="X53" s="8"/>
      <c r="Y53" s="8"/>
      <c r="Z53" s="8"/>
      <c r="AA53" s="8"/>
      <c r="AB53" s="8"/>
      <c r="AC53" s="9"/>
      <c r="AD53" s="9"/>
      <c r="AE53" s="9"/>
      <c r="AF53" s="8"/>
      <c r="AG53" s="8"/>
      <c r="AH53" s="11" t="str">
        <f t="shared" si="7"/>
        <v/>
      </c>
    </row>
    <row r="54" spans="1:34" ht="60" customHeight="1">
      <c r="A54" s="8"/>
      <c r="B54" s="8"/>
      <c r="C54" s="8"/>
      <c r="D54" s="8"/>
      <c r="E54" s="9"/>
      <c r="F54" s="11" t="str">
        <f t="shared" si="4"/>
        <v/>
      </c>
      <c r="G54" s="20" t="str">
        <f>IF(A54="","",IF(COUNTIF('09 - ADOPTION &amp; BENEFITS'!$A$9:$A$58,A54)&gt;1,"DUPLICATE ID ","")&amp;IF(ReviewDate="","SET REVIEW DATE ","")&amp;IF(OR(O54="",O54&lt;=0),"DENOMINATOR MISSING OR ZERO ","")&amp;IF(AND(ISNUMBER(P54),ISNUMBER(O54),OR(P54&lt;0,P54&gt;O54)),"INVALID NUMERATOR ","")&amp;IF(R54="","NO BASELINE ","")&amp;IF(AND(S54&lt;&gt;"",OR(AD54="",AND(ISNUMBER(AE54),AE54&lt;AD54))),"TARGET BEFORE BASELINE ","")&amp;IF(K54="","OUTCOME OWNER MISSING ","")&amp;IF(AB54&lt;&gt;"Yes","HANDOVER NOT RECORDED ","")&amp;IF(AND(AF54="Improving",AG54="Flat"),"ADOPTION UP OUTCOME FLAT ","")&amp;IF(AND(AG54="Improving",Z54=""),"ATTRIBUTION UNCERTAIN ","")&amp;IF(AND(ISNUMBER(AH54),AH54&lt;ObservationDays),"OBSERVATION WINDOW INCOMPLETE ",""))</f>
        <v/>
      </c>
      <c r="H54" s="11" t="str">
        <f t="shared" si="5"/>
        <v/>
      </c>
      <c r="I54" s="8"/>
      <c r="J54" s="8"/>
      <c r="K54" s="8"/>
      <c r="L54" s="8"/>
      <c r="M54" s="8"/>
      <c r="N54" s="8"/>
      <c r="O54" s="8"/>
      <c r="P54" s="8"/>
      <c r="Q54" s="13" t="str">
        <f t="shared" si="6"/>
        <v/>
      </c>
      <c r="R54" s="8"/>
      <c r="S54" s="8"/>
      <c r="T54" s="9"/>
      <c r="U54" s="8"/>
      <c r="V54" s="8"/>
      <c r="W54" s="8"/>
      <c r="X54" s="8"/>
      <c r="Y54" s="8"/>
      <c r="Z54" s="8"/>
      <c r="AA54" s="8"/>
      <c r="AB54" s="8"/>
      <c r="AC54" s="9"/>
      <c r="AD54" s="9"/>
      <c r="AE54" s="9"/>
      <c r="AF54" s="8"/>
      <c r="AG54" s="8"/>
      <c r="AH54" s="11" t="str">
        <f t="shared" si="7"/>
        <v/>
      </c>
    </row>
    <row r="55" spans="1:34" ht="60" customHeight="1">
      <c r="A55" s="8"/>
      <c r="B55" s="8"/>
      <c r="C55" s="8"/>
      <c r="D55" s="8"/>
      <c r="E55" s="9"/>
      <c r="F55" s="11" t="str">
        <f t="shared" si="4"/>
        <v/>
      </c>
      <c r="G55" s="20" t="str">
        <f>IF(A55="","",IF(COUNTIF('09 - ADOPTION &amp; BENEFITS'!$A$9:$A$58,A55)&gt;1,"DUPLICATE ID ","")&amp;IF(ReviewDate="","SET REVIEW DATE ","")&amp;IF(OR(O55="",O55&lt;=0),"DENOMINATOR MISSING OR ZERO ","")&amp;IF(AND(ISNUMBER(P55),ISNUMBER(O55),OR(P55&lt;0,P55&gt;O55)),"INVALID NUMERATOR ","")&amp;IF(R55="","NO BASELINE ","")&amp;IF(AND(S55&lt;&gt;"",OR(AD55="",AND(ISNUMBER(AE55),AE55&lt;AD55))),"TARGET BEFORE BASELINE ","")&amp;IF(K55="","OUTCOME OWNER MISSING ","")&amp;IF(AB55&lt;&gt;"Yes","HANDOVER NOT RECORDED ","")&amp;IF(AND(AF55="Improving",AG55="Flat"),"ADOPTION UP OUTCOME FLAT ","")&amp;IF(AND(AG55="Improving",Z55=""),"ATTRIBUTION UNCERTAIN ","")&amp;IF(AND(ISNUMBER(AH55),AH55&lt;ObservationDays),"OBSERVATION WINDOW INCOMPLETE ",""))</f>
        <v/>
      </c>
      <c r="H55" s="11" t="str">
        <f t="shared" si="5"/>
        <v/>
      </c>
      <c r="I55" s="8"/>
      <c r="J55" s="8"/>
      <c r="K55" s="8"/>
      <c r="L55" s="8"/>
      <c r="M55" s="8"/>
      <c r="N55" s="8"/>
      <c r="O55" s="8"/>
      <c r="P55" s="8"/>
      <c r="Q55" s="13" t="str">
        <f t="shared" si="6"/>
        <v/>
      </c>
      <c r="R55" s="8"/>
      <c r="S55" s="8"/>
      <c r="T55" s="9"/>
      <c r="U55" s="8"/>
      <c r="V55" s="8"/>
      <c r="W55" s="8"/>
      <c r="X55" s="8"/>
      <c r="Y55" s="8"/>
      <c r="Z55" s="8"/>
      <c r="AA55" s="8"/>
      <c r="AB55" s="8"/>
      <c r="AC55" s="9"/>
      <c r="AD55" s="9"/>
      <c r="AE55" s="9"/>
      <c r="AF55" s="8"/>
      <c r="AG55" s="8"/>
      <c r="AH55" s="11" t="str">
        <f t="shared" si="7"/>
        <v/>
      </c>
    </row>
    <row r="56" spans="1:34" ht="60" customHeight="1">
      <c r="A56" s="8"/>
      <c r="B56" s="8"/>
      <c r="C56" s="8"/>
      <c r="D56" s="8"/>
      <c r="E56" s="9"/>
      <c r="F56" s="11" t="str">
        <f t="shared" si="4"/>
        <v/>
      </c>
      <c r="G56" s="20" t="str">
        <f>IF(A56="","",IF(COUNTIF('09 - ADOPTION &amp; BENEFITS'!$A$9:$A$58,A56)&gt;1,"DUPLICATE ID ","")&amp;IF(ReviewDate="","SET REVIEW DATE ","")&amp;IF(OR(O56="",O56&lt;=0),"DENOMINATOR MISSING OR ZERO ","")&amp;IF(AND(ISNUMBER(P56),ISNUMBER(O56),OR(P56&lt;0,P56&gt;O56)),"INVALID NUMERATOR ","")&amp;IF(R56="","NO BASELINE ","")&amp;IF(AND(S56&lt;&gt;"",OR(AD56="",AND(ISNUMBER(AE56),AE56&lt;AD56))),"TARGET BEFORE BASELINE ","")&amp;IF(K56="","OUTCOME OWNER MISSING ","")&amp;IF(AB56&lt;&gt;"Yes","HANDOVER NOT RECORDED ","")&amp;IF(AND(AF56="Improving",AG56="Flat"),"ADOPTION UP OUTCOME FLAT ","")&amp;IF(AND(AG56="Improving",Z56=""),"ATTRIBUTION UNCERTAIN ","")&amp;IF(AND(ISNUMBER(AH56),AH56&lt;ObservationDays),"OBSERVATION WINDOW INCOMPLETE ",""))</f>
        <v/>
      </c>
      <c r="H56" s="11" t="str">
        <f t="shared" si="5"/>
        <v/>
      </c>
      <c r="I56" s="8"/>
      <c r="J56" s="8"/>
      <c r="K56" s="8"/>
      <c r="L56" s="8"/>
      <c r="M56" s="8"/>
      <c r="N56" s="8"/>
      <c r="O56" s="8"/>
      <c r="P56" s="8"/>
      <c r="Q56" s="13" t="str">
        <f t="shared" si="6"/>
        <v/>
      </c>
      <c r="R56" s="8"/>
      <c r="S56" s="8"/>
      <c r="T56" s="9"/>
      <c r="U56" s="8"/>
      <c r="V56" s="8"/>
      <c r="W56" s="8"/>
      <c r="X56" s="8"/>
      <c r="Y56" s="8"/>
      <c r="Z56" s="8"/>
      <c r="AA56" s="8"/>
      <c r="AB56" s="8"/>
      <c r="AC56" s="9"/>
      <c r="AD56" s="9"/>
      <c r="AE56" s="9"/>
      <c r="AF56" s="8"/>
      <c r="AG56" s="8"/>
      <c r="AH56" s="11" t="str">
        <f t="shared" si="7"/>
        <v/>
      </c>
    </row>
    <row r="57" spans="1:34" ht="60" customHeight="1">
      <c r="A57" s="8"/>
      <c r="B57" s="8"/>
      <c r="C57" s="8"/>
      <c r="D57" s="8"/>
      <c r="E57" s="9"/>
      <c r="F57" s="11" t="str">
        <f t="shared" si="4"/>
        <v/>
      </c>
      <c r="G57" s="20" t="str">
        <f>IF(A57="","",IF(COUNTIF('09 - ADOPTION &amp; BENEFITS'!$A$9:$A$58,A57)&gt;1,"DUPLICATE ID ","")&amp;IF(ReviewDate="","SET REVIEW DATE ","")&amp;IF(OR(O57="",O57&lt;=0),"DENOMINATOR MISSING OR ZERO ","")&amp;IF(AND(ISNUMBER(P57),ISNUMBER(O57),OR(P57&lt;0,P57&gt;O57)),"INVALID NUMERATOR ","")&amp;IF(R57="","NO BASELINE ","")&amp;IF(AND(S57&lt;&gt;"",OR(AD57="",AND(ISNUMBER(AE57),AE57&lt;AD57))),"TARGET BEFORE BASELINE ","")&amp;IF(K57="","OUTCOME OWNER MISSING ","")&amp;IF(AB57&lt;&gt;"Yes","HANDOVER NOT RECORDED ","")&amp;IF(AND(AF57="Improving",AG57="Flat"),"ADOPTION UP OUTCOME FLAT ","")&amp;IF(AND(AG57="Improving",Z57=""),"ATTRIBUTION UNCERTAIN ","")&amp;IF(AND(ISNUMBER(AH57),AH57&lt;ObservationDays),"OBSERVATION WINDOW INCOMPLETE ",""))</f>
        <v/>
      </c>
      <c r="H57" s="11" t="str">
        <f t="shared" si="5"/>
        <v/>
      </c>
      <c r="I57" s="8"/>
      <c r="J57" s="8"/>
      <c r="K57" s="8"/>
      <c r="L57" s="8"/>
      <c r="M57" s="8"/>
      <c r="N57" s="8"/>
      <c r="O57" s="8"/>
      <c r="P57" s="8"/>
      <c r="Q57" s="13" t="str">
        <f t="shared" si="6"/>
        <v/>
      </c>
      <c r="R57" s="8"/>
      <c r="S57" s="8"/>
      <c r="T57" s="9"/>
      <c r="U57" s="8"/>
      <c r="V57" s="8"/>
      <c r="W57" s="8"/>
      <c r="X57" s="8"/>
      <c r="Y57" s="8"/>
      <c r="Z57" s="8"/>
      <c r="AA57" s="8"/>
      <c r="AB57" s="8"/>
      <c r="AC57" s="9"/>
      <c r="AD57" s="9"/>
      <c r="AE57" s="9"/>
      <c r="AF57" s="8"/>
      <c r="AG57" s="8"/>
      <c r="AH57" s="11" t="str">
        <f t="shared" si="7"/>
        <v/>
      </c>
    </row>
    <row r="58" spans="1:34" ht="60" customHeight="1">
      <c r="A58" s="8"/>
      <c r="B58" s="8"/>
      <c r="C58" s="8"/>
      <c r="D58" s="8"/>
      <c r="E58" s="9"/>
      <c r="F58" s="11" t="str">
        <f t="shared" si="4"/>
        <v/>
      </c>
      <c r="G58" s="20" t="str">
        <f>IF(A58="","",IF(COUNTIF('09 - ADOPTION &amp; BENEFITS'!$A$9:$A$58,A58)&gt;1,"DUPLICATE ID ","")&amp;IF(ReviewDate="","SET REVIEW DATE ","")&amp;IF(OR(O58="",O58&lt;=0),"DENOMINATOR MISSING OR ZERO ","")&amp;IF(AND(ISNUMBER(P58),ISNUMBER(O58),OR(P58&lt;0,P58&gt;O58)),"INVALID NUMERATOR ","")&amp;IF(R58="","NO BASELINE ","")&amp;IF(AND(S58&lt;&gt;"",OR(AD58="",AND(ISNUMBER(AE58),AE58&lt;AD58))),"TARGET BEFORE BASELINE ","")&amp;IF(K58="","OUTCOME OWNER MISSING ","")&amp;IF(AB58&lt;&gt;"Yes","HANDOVER NOT RECORDED ","")&amp;IF(AND(AF58="Improving",AG58="Flat"),"ADOPTION UP OUTCOME FLAT ","")&amp;IF(AND(AG58="Improving",Z58=""),"ATTRIBUTION UNCERTAIN ","")&amp;IF(AND(ISNUMBER(AH58),AH58&lt;ObservationDays),"OBSERVATION WINDOW INCOMPLETE ",""))</f>
        <v/>
      </c>
      <c r="H58" s="11" t="str">
        <f t="shared" si="5"/>
        <v/>
      </c>
      <c r="I58" s="8"/>
      <c r="J58" s="8"/>
      <c r="K58" s="8"/>
      <c r="L58" s="8"/>
      <c r="M58" s="8"/>
      <c r="N58" s="8"/>
      <c r="O58" s="8"/>
      <c r="P58" s="8"/>
      <c r="Q58" s="13" t="str">
        <f t="shared" si="6"/>
        <v/>
      </c>
      <c r="R58" s="8"/>
      <c r="S58" s="8"/>
      <c r="T58" s="9"/>
      <c r="U58" s="8"/>
      <c r="V58" s="8"/>
      <c r="W58" s="8"/>
      <c r="X58" s="8"/>
      <c r="Y58" s="8"/>
      <c r="Z58" s="8"/>
      <c r="AA58" s="8"/>
      <c r="AB58" s="8"/>
      <c r="AC58" s="9"/>
      <c r="AD58" s="9"/>
      <c r="AE58" s="9"/>
      <c r="AF58" s="8"/>
      <c r="AG58" s="8"/>
      <c r="AH58" s="11" t="str">
        <f t="shared" si="7"/>
        <v/>
      </c>
    </row>
    <row r="59" spans="1:34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</sheetData>
  <mergeCells count="1">
    <mergeCell ref="A4:J4"/>
  </mergeCells>
  <conditionalFormatting sqref="F9:F58">
    <cfRule type="containsText" dxfId="5" priority="2" operator="containsText" text="Critical"/>
  </conditionalFormatting>
  <conditionalFormatting sqref="G9:G58">
    <cfRule type="containsText" dxfId="4" priority="1" operator="containsText" text="MISSING"/>
  </conditionalFormatting>
  <dataValidations count="4">
    <dataValidation type="list" sqref="C9:C58" xr:uid="{00000000-0002-0000-0900-000000000000}">
      <formula1>WorkStatus</formula1>
    </dataValidation>
    <dataValidation type="list" sqref="AB9:AB58" xr:uid="{00000000-0002-0000-0900-000001000000}">
      <formula1>YesNo</formula1>
    </dataValidation>
    <dataValidation type="list" sqref="AF9:AG58" xr:uid="{00000000-0002-0000-0900-000002000000}">
      <formula1>Change</formula1>
    </dataValidation>
    <dataValidation type="list" sqref="L9:L58" xr:uid="{00000000-0002-0000-0900-000004000000}">
      <formula1>CapabilityIDs</formula1>
    </dataValidation>
  </dataValidations>
  <hyperlinks>
    <hyperlink ref="A6" location="'00 - START HERE'!A1" display="Start here" xr:uid="{00000000-0004-0000-09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87C78"/>
  </sheetPr>
  <dimension ref="A1:AN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2" customWidth="1"/>
    <col min="3" max="6" width="20" customWidth="1"/>
    <col min="7" max="7" width="42" customWidth="1"/>
    <col min="8" max="8" width="32" customWidth="1"/>
    <col min="9" max="9" width="20" customWidth="1"/>
    <col min="10" max="10" width="32" customWidth="1"/>
    <col min="11" max="14" width="20" customWidth="1"/>
    <col min="15" max="15" width="32" customWidth="1"/>
    <col min="16" max="17" width="20" customWidth="1"/>
    <col min="18" max="21" width="32" customWidth="1"/>
    <col min="22" max="29" width="20" customWidth="1"/>
    <col min="30" max="30" width="32" customWidth="1"/>
    <col min="31" max="33" width="20" customWidth="1"/>
    <col min="34" max="34" width="32" customWidth="1"/>
    <col min="35" max="40" width="20" customWidth="1"/>
  </cols>
  <sheetData>
    <row r="1" spans="1:40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32.1" customHeight="1">
      <c r="A2" s="2" t="s">
        <v>437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33.950000000000003" customHeight="1">
      <c r="A4" s="21" t="s">
        <v>438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"&amp;SUMPRODUCT(--('10 - RECOVERY'!$A$9:$A$58=""),--('10 - RECOVERY'!$B$9:$B$58&lt;&gt;""))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33.950000000000003" customHeight="1">
      <c r="A8" s="5" t="s">
        <v>131</v>
      </c>
      <c r="B8" s="5" t="s">
        <v>439</v>
      </c>
      <c r="C8" s="5" t="s">
        <v>440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441</v>
      </c>
      <c r="J8" s="5" t="s">
        <v>121</v>
      </c>
      <c r="K8" s="5" t="s">
        <v>442</v>
      </c>
      <c r="L8" s="5" t="s">
        <v>443</v>
      </c>
      <c r="M8" s="5" t="s">
        <v>197</v>
      </c>
      <c r="N8" s="5" t="s">
        <v>444</v>
      </c>
      <c r="O8" s="5" t="s">
        <v>357</v>
      </c>
      <c r="P8" s="5" t="s">
        <v>445</v>
      </c>
      <c r="Q8" s="5" t="s">
        <v>446</v>
      </c>
      <c r="R8" s="5" t="s">
        <v>447</v>
      </c>
      <c r="S8" s="5" t="s">
        <v>448</v>
      </c>
      <c r="T8" s="5" t="s">
        <v>198</v>
      </c>
      <c r="U8" s="5" t="s">
        <v>199</v>
      </c>
      <c r="V8" s="5" t="s">
        <v>449</v>
      </c>
      <c r="W8" s="5" t="s">
        <v>450</v>
      </c>
      <c r="X8" s="5" t="s">
        <v>451</v>
      </c>
      <c r="Y8" s="5" t="s">
        <v>452</v>
      </c>
      <c r="Z8" s="5" t="s">
        <v>453</v>
      </c>
      <c r="AA8" s="5" t="s">
        <v>454</v>
      </c>
      <c r="AB8" s="5" t="s">
        <v>204</v>
      </c>
      <c r="AC8" s="5" t="s">
        <v>455</v>
      </c>
      <c r="AD8" s="5" t="s">
        <v>456</v>
      </c>
      <c r="AE8" s="5" t="s">
        <v>457</v>
      </c>
      <c r="AF8" s="5" t="s">
        <v>458</v>
      </c>
      <c r="AG8" s="5" t="s">
        <v>459</v>
      </c>
      <c r="AH8" s="5" t="s">
        <v>460</v>
      </c>
      <c r="AI8" s="5" t="s">
        <v>461</v>
      </c>
      <c r="AJ8" s="5" t="s">
        <v>462</v>
      </c>
      <c r="AK8" s="5" t="s">
        <v>463</v>
      </c>
      <c r="AL8" s="5" t="s">
        <v>191</v>
      </c>
      <c r="AM8" s="5" t="s">
        <v>363</v>
      </c>
      <c r="AN8" s="5" t="s">
        <v>211</v>
      </c>
    </row>
    <row r="9" spans="1:40" ht="52.7" customHeight="1">
      <c r="A9" s="8" t="s">
        <v>464</v>
      </c>
      <c r="B9" s="8" t="s">
        <v>465</v>
      </c>
      <c r="C9" s="8" t="s">
        <v>466</v>
      </c>
      <c r="D9" s="8" t="s">
        <v>59</v>
      </c>
      <c r="E9" s="9">
        <v>46291</v>
      </c>
      <c r="F9" s="11" t="str">
        <f t="shared" ref="F9:F40" si="0">IF(A9="","",IF(AL9="Closed","Critical",IF(G9&lt;&gt;"","Review","Routine")))</f>
        <v>Routine</v>
      </c>
      <c r="G9" s="20" t="str">
        <f>IF(A9="","",IF(COUNTIF('10 - RECOVERY'!$A$9:$A$58,A9)&gt;1,"DUPLICATE ID ","")&amp;IF(ReviewDate="","SET REVIEW DATE ","")&amp;IF(W9="","RECOVERY TEST MISSING ","")&amp;IF(X9="","OBSERVATION DATE MISSING ","")&amp;IF(AND(AL9="Closed",OR(AD9="",AK9="")),"RECOVERY NOT DEMONSTRATED ","")&amp;IF(AND(ISNUMBER(X9),X9&lt;ReviewDate,AD9=""),"RECOVERY CHECK OVERDUE ",""))</f>
        <v/>
      </c>
      <c r="H9" s="11" t="str">
        <f t="shared" ref="H9:H40" si="1">IF(A9="","",IF(OR(W9="",X9=""),"Define observable recovery evidence and review date.","Test the intervention, sustained change and displaced risk."))</f>
        <v>Test the intervention, sustained change and displaced risk.</v>
      </c>
      <c r="I9" s="8" t="s">
        <v>467</v>
      </c>
      <c r="J9" s="8" t="s">
        <v>468</v>
      </c>
      <c r="K9" s="9" t="s">
        <v>469</v>
      </c>
      <c r="L9" s="8" t="s">
        <v>470</v>
      </c>
      <c r="M9" s="8" t="s">
        <v>471</v>
      </c>
      <c r="N9" s="8" t="s">
        <v>472</v>
      </c>
      <c r="O9" s="8" t="s">
        <v>473</v>
      </c>
      <c r="P9" s="8" t="s">
        <v>474</v>
      </c>
      <c r="Q9" s="8" t="s">
        <v>475</v>
      </c>
      <c r="R9" s="8" t="s">
        <v>476</v>
      </c>
      <c r="S9" s="8" t="s">
        <v>477</v>
      </c>
      <c r="T9" s="8" t="s">
        <v>478</v>
      </c>
      <c r="U9" s="8" t="s">
        <v>479</v>
      </c>
      <c r="V9" s="8" t="s">
        <v>480</v>
      </c>
      <c r="W9" s="8" t="s">
        <v>481</v>
      </c>
      <c r="X9" s="9">
        <v>46295</v>
      </c>
      <c r="Y9" s="8" t="s">
        <v>482</v>
      </c>
      <c r="Z9" s="8" t="s">
        <v>483</v>
      </c>
      <c r="AA9" s="8" t="s">
        <v>484</v>
      </c>
      <c r="AB9" s="9">
        <v>46295</v>
      </c>
      <c r="AC9" s="8" t="s">
        <v>485</v>
      </c>
      <c r="AD9" s="8" t="s">
        <v>486</v>
      </c>
      <c r="AE9" s="8" t="s">
        <v>487</v>
      </c>
      <c r="AF9" s="8" t="s">
        <v>488</v>
      </c>
      <c r="AG9" s="8" t="s">
        <v>489</v>
      </c>
      <c r="AH9" s="8" t="s">
        <v>490</v>
      </c>
      <c r="AI9" s="8" t="s">
        <v>491</v>
      </c>
      <c r="AJ9" s="8" t="s">
        <v>492</v>
      </c>
      <c r="AK9" s="8" t="s">
        <v>493</v>
      </c>
      <c r="AL9" s="8" t="s">
        <v>265</v>
      </c>
      <c r="AM9" s="8" t="s">
        <v>170</v>
      </c>
      <c r="AN9" s="8" t="s">
        <v>165</v>
      </c>
    </row>
    <row r="10" spans="1:40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IF(A10="","",IF(COUNTIF('10 - RECOVERY'!$A$9:$A$58,A10)&gt;1,"DUPLICATE ID ","")&amp;IF(ReviewDate="","SET REVIEW DATE ","")&amp;IF(W10="","RECOVERY TEST MISSING ","")&amp;IF(X10="","OBSERVATION DATE MISSING ","")&amp;IF(AND(AL10="Closed",OR(AD10="",AK10="")),"RECOVERY NOT DEMONSTRATED ","")&amp;IF(AND(ISNUMBER(X10),X10&lt;ReviewDate,AD10=""),"RECOVERY CHECK OVERDUE ",""))</f>
        <v/>
      </c>
      <c r="H10" s="11" t="str">
        <f t="shared" si="1"/>
        <v/>
      </c>
      <c r="I10" s="8"/>
      <c r="J10" s="8"/>
      <c r="K10" s="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8"/>
      <c r="Z10" s="8"/>
      <c r="AA10" s="8"/>
      <c r="AB10" s="9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IF(A11="","",IF(COUNTIF('10 - RECOVERY'!$A$9:$A$58,A11)&gt;1,"DUPLICATE ID ","")&amp;IF(ReviewDate="","SET REVIEW DATE ","")&amp;IF(W11="","RECOVERY TEST MISSING ","")&amp;IF(X11="","OBSERVATION DATE MISSING ","")&amp;IF(AND(AL11="Closed",OR(AD11="",AK11="")),"RECOVERY NOT DEMONSTRATED ","")&amp;IF(AND(ISNUMBER(X11),X11&lt;ReviewDate,AD11=""),"RECOVERY CHECK OVERDUE ",""))</f>
        <v/>
      </c>
      <c r="H11" s="11" t="str">
        <f t="shared" si="1"/>
        <v/>
      </c>
      <c r="I11" s="8"/>
      <c r="J11" s="8"/>
      <c r="K11" s="9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  <c r="Y11" s="8"/>
      <c r="Z11" s="8"/>
      <c r="AA11" s="8"/>
      <c r="AB11" s="9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IF(A12="","",IF(COUNTIF('10 - RECOVERY'!$A$9:$A$58,A12)&gt;1,"DUPLICATE ID ","")&amp;IF(ReviewDate="","SET REVIEW DATE ","")&amp;IF(W12="","RECOVERY TEST MISSING ","")&amp;IF(X12="","OBSERVATION DATE MISSING ","")&amp;IF(AND(AL12="Closed",OR(AD12="",AK12="")),"RECOVERY NOT DEMONSTRATED ","")&amp;IF(AND(ISNUMBER(X12),X12&lt;ReviewDate,AD12=""),"RECOVERY CHECK OVERDUE ",""))</f>
        <v/>
      </c>
      <c r="H12" s="11" t="str">
        <f t="shared" si="1"/>
        <v/>
      </c>
      <c r="I12" s="8"/>
      <c r="J12" s="8"/>
      <c r="K12" s="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8"/>
      <c r="Z12" s="8"/>
      <c r="AA12" s="8"/>
      <c r="AB12" s="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IF(A13="","",IF(COUNTIF('10 - RECOVERY'!$A$9:$A$58,A13)&gt;1,"DUPLICATE ID ","")&amp;IF(ReviewDate="","SET REVIEW DATE ","")&amp;IF(W13="","RECOVERY TEST MISSING ","")&amp;IF(X13="","OBSERVATION DATE MISSING ","")&amp;IF(AND(AL13="Closed",OR(AD13="",AK13="")),"RECOVERY NOT DEMONSTRATED ","")&amp;IF(AND(ISNUMBER(X13),X13&lt;ReviewDate,AD13=""),"RECOVERY CHECK OVERDUE ",""))</f>
        <v/>
      </c>
      <c r="H13" s="11" t="str">
        <f t="shared" si="1"/>
        <v/>
      </c>
      <c r="I13" s="8"/>
      <c r="J13" s="8"/>
      <c r="K13" s="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8"/>
      <c r="Z13" s="8"/>
      <c r="AA13" s="8"/>
      <c r="AB13" s="9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IF(A14="","",IF(COUNTIF('10 - RECOVERY'!$A$9:$A$58,A14)&gt;1,"DUPLICATE ID ","")&amp;IF(ReviewDate="","SET REVIEW DATE ","")&amp;IF(W14="","RECOVERY TEST MISSING ","")&amp;IF(X14="","OBSERVATION DATE MISSING ","")&amp;IF(AND(AL14="Closed",OR(AD14="",AK14="")),"RECOVERY NOT DEMONSTRATED ","")&amp;IF(AND(ISNUMBER(X14),X14&lt;ReviewDate,AD14=""),"RECOVERY CHECK OVERDUE ",""))</f>
        <v/>
      </c>
      <c r="H14" s="11" t="str">
        <f t="shared" si="1"/>
        <v/>
      </c>
      <c r="I14" s="8"/>
      <c r="J14" s="8"/>
      <c r="K14" s="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/>
      <c r="Y14" s="8"/>
      <c r="Z14" s="8"/>
      <c r="AA14" s="8"/>
      <c r="AB14" s="9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IF(A15="","",IF(COUNTIF('10 - RECOVERY'!$A$9:$A$58,A15)&gt;1,"DUPLICATE ID ","")&amp;IF(ReviewDate="","SET REVIEW DATE ","")&amp;IF(W15="","RECOVERY TEST MISSING ","")&amp;IF(X15="","OBSERVATION DATE MISSING ","")&amp;IF(AND(AL15="Closed",OR(AD15="",AK15="")),"RECOVERY NOT DEMONSTRATED ","")&amp;IF(AND(ISNUMBER(X15),X15&lt;ReviewDate,AD15=""),"RECOVERY CHECK OVERDUE ",""))</f>
        <v/>
      </c>
      <c r="H15" s="11" t="str">
        <f t="shared" si="1"/>
        <v/>
      </c>
      <c r="I15" s="8"/>
      <c r="J15" s="8"/>
      <c r="K15" s="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/>
      <c r="Y15" s="8"/>
      <c r="Z15" s="8"/>
      <c r="AA15" s="8"/>
      <c r="AB15" s="9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IF(A16="","",IF(COUNTIF('10 - RECOVERY'!$A$9:$A$58,A16)&gt;1,"DUPLICATE ID ","")&amp;IF(ReviewDate="","SET REVIEW DATE ","")&amp;IF(W16="","RECOVERY TEST MISSING ","")&amp;IF(X16="","OBSERVATION DATE MISSING ","")&amp;IF(AND(AL16="Closed",OR(AD16="",AK16="")),"RECOVERY NOT DEMONSTRATED ","")&amp;IF(AND(ISNUMBER(X16),X16&lt;ReviewDate,AD16=""),"RECOVERY CHECK OVERDUE ",""))</f>
        <v/>
      </c>
      <c r="H16" s="11" t="str">
        <f t="shared" si="1"/>
        <v/>
      </c>
      <c r="I16" s="8"/>
      <c r="J16" s="8"/>
      <c r="K16" s="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8"/>
      <c r="Z16" s="8"/>
      <c r="AA16" s="8"/>
      <c r="AB16" s="9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IF(A17="","",IF(COUNTIF('10 - RECOVERY'!$A$9:$A$58,A17)&gt;1,"DUPLICATE ID ","")&amp;IF(ReviewDate="","SET REVIEW DATE ","")&amp;IF(W17="","RECOVERY TEST MISSING ","")&amp;IF(X17="","OBSERVATION DATE MISSING ","")&amp;IF(AND(AL17="Closed",OR(AD17="",AK17="")),"RECOVERY NOT DEMONSTRATED ","")&amp;IF(AND(ISNUMBER(X17),X17&lt;ReviewDate,AD17=""),"RECOVERY CHECK OVERDUE ",""))</f>
        <v/>
      </c>
      <c r="H17" s="11" t="str">
        <f t="shared" si="1"/>
        <v/>
      </c>
      <c r="I17" s="8"/>
      <c r="J17" s="8"/>
      <c r="K17" s="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8"/>
      <c r="Z17" s="8"/>
      <c r="AA17" s="8"/>
      <c r="AB17" s="9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IF(A18="","",IF(COUNTIF('10 - RECOVERY'!$A$9:$A$58,A18)&gt;1,"DUPLICATE ID ","")&amp;IF(ReviewDate="","SET REVIEW DATE ","")&amp;IF(W18="","RECOVERY TEST MISSING ","")&amp;IF(X18="","OBSERVATION DATE MISSING ","")&amp;IF(AND(AL18="Closed",OR(AD18="",AK18="")),"RECOVERY NOT DEMONSTRATED ","")&amp;IF(AND(ISNUMBER(X18),X18&lt;ReviewDate,AD18=""),"RECOVERY CHECK OVERDUE ",""))</f>
        <v/>
      </c>
      <c r="H18" s="11" t="str">
        <f t="shared" si="1"/>
        <v/>
      </c>
      <c r="I18" s="8"/>
      <c r="J18" s="8"/>
      <c r="K18" s="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8"/>
      <c r="Z18" s="8"/>
      <c r="AA18" s="8"/>
      <c r="AB18" s="9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IF(A19="","",IF(COUNTIF('10 - RECOVERY'!$A$9:$A$58,A19)&gt;1,"DUPLICATE ID ","")&amp;IF(ReviewDate="","SET REVIEW DATE ","")&amp;IF(W19="","RECOVERY TEST MISSING ","")&amp;IF(X19="","OBSERVATION DATE MISSING ","")&amp;IF(AND(AL19="Closed",OR(AD19="",AK19="")),"RECOVERY NOT DEMONSTRATED ","")&amp;IF(AND(ISNUMBER(X19),X19&lt;ReviewDate,AD19=""),"RECOVERY CHECK OVERDUE ",""))</f>
        <v/>
      </c>
      <c r="H19" s="11" t="str">
        <f t="shared" si="1"/>
        <v/>
      </c>
      <c r="I19" s="8"/>
      <c r="J19" s="8"/>
      <c r="K19" s="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8"/>
      <c r="Z19" s="8"/>
      <c r="AA19" s="8"/>
      <c r="AB19" s="9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IF(A20="","",IF(COUNTIF('10 - RECOVERY'!$A$9:$A$58,A20)&gt;1,"DUPLICATE ID ","")&amp;IF(ReviewDate="","SET REVIEW DATE ","")&amp;IF(W20="","RECOVERY TEST MISSING ","")&amp;IF(X20="","OBSERVATION DATE MISSING ","")&amp;IF(AND(AL20="Closed",OR(AD20="",AK20="")),"RECOVERY NOT DEMONSTRATED ","")&amp;IF(AND(ISNUMBER(X20),X20&lt;ReviewDate,AD20=""),"RECOVERY CHECK OVERDUE ",""))</f>
        <v/>
      </c>
      <c r="H20" s="11" t="str">
        <f t="shared" si="1"/>
        <v/>
      </c>
      <c r="I20" s="8"/>
      <c r="J20" s="8"/>
      <c r="K20" s="9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8"/>
      <c r="Z20" s="8"/>
      <c r="AA20" s="8"/>
      <c r="AB20" s="9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IF(A21="","",IF(COUNTIF('10 - RECOVERY'!$A$9:$A$58,A21)&gt;1,"DUPLICATE ID ","")&amp;IF(ReviewDate="","SET REVIEW DATE ","")&amp;IF(W21="","RECOVERY TEST MISSING ","")&amp;IF(X21="","OBSERVATION DATE MISSING ","")&amp;IF(AND(AL21="Closed",OR(AD21="",AK21="")),"RECOVERY NOT DEMONSTRATED ","")&amp;IF(AND(ISNUMBER(X21),X21&lt;ReviewDate,AD21=""),"RECOVERY CHECK OVERDUE ",""))</f>
        <v/>
      </c>
      <c r="H21" s="11" t="str">
        <f t="shared" si="1"/>
        <v/>
      </c>
      <c r="I21" s="8"/>
      <c r="J21" s="8"/>
      <c r="K21" s="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8"/>
      <c r="Z21" s="8"/>
      <c r="AA21" s="8"/>
      <c r="AB21" s="9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IF(A22="","",IF(COUNTIF('10 - RECOVERY'!$A$9:$A$58,A22)&gt;1,"DUPLICATE ID ","")&amp;IF(ReviewDate="","SET REVIEW DATE ","")&amp;IF(W22="","RECOVERY TEST MISSING ","")&amp;IF(X22="","OBSERVATION DATE MISSING ","")&amp;IF(AND(AL22="Closed",OR(AD22="",AK22="")),"RECOVERY NOT DEMONSTRATED ","")&amp;IF(AND(ISNUMBER(X22),X22&lt;ReviewDate,AD22=""),"RECOVERY CHECK OVERDUE ",""))</f>
        <v/>
      </c>
      <c r="H22" s="11" t="str">
        <f t="shared" si="1"/>
        <v/>
      </c>
      <c r="I22" s="8"/>
      <c r="J22" s="8"/>
      <c r="K22" s="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/>
      <c r="Y22" s="8"/>
      <c r="Z22" s="8"/>
      <c r="AA22" s="8"/>
      <c r="AB22" s="9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IF(A23="","",IF(COUNTIF('10 - RECOVERY'!$A$9:$A$58,A23)&gt;1,"DUPLICATE ID ","")&amp;IF(ReviewDate="","SET REVIEW DATE ","")&amp;IF(W23="","RECOVERY TEST MISSING ","")&amp;IF(X23="","OBSERVATION DATE MISSING ","")&amp;IF(AND(AL23="Closed",OR(AD23="",AK23="")),"RECOVERY NOT DEMONSTRATED ","")&amp;IF(AND(ISNUMBER(X23),X23&lt;ReviewDate,AD23=""),"RECOVERY CHECK OVERDUE ",""))</f>
        <v/>
      </c>
      <c r="H23" s="11" t="str">
        <f t="shared" si="1"/>
        <v/>
      </c>
      <c r="I23" s="8"/>
      <c r="J23" s="8"/>
      <c r="K23" s="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9"/>
      <c r="Y23" s="8"/>
      <c r="Z23" s="8"/>
      <c r="AA23" s="8"/>
      <c r="AB23" s="9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IF(A24="","",IF(COUNTIF('10 - RECOVERY'!$A$9:$A$58,A24)&gt;1,"DUPLICATE ID ","")&amp;IF(ReviewDate="","SET REVIEW DATE ","")&amp;IF(W24="","RECOVERY TEST MISSING ","")&amp;IF(X24="","OBSERVATION DATE MISSING ","")&amp;IF(AND(AL24="Closed",OR(AD24="",AK24="")),"RECOVERY NOT DEMONSTRATED ","")&amp;IF(AND(ISNUMBER(X24),X24&lt;ReviewDate,AD24=""),"RECOVERY CHECK OVERDUE ",""))</f>
        <v/>
      </c>
      <c r="H24" s="11" t="str">
        <f t="shared" si="1"/>
        <v/>
      </c>
      <c r="I24" s="8"/>
      <c r="J24" s="8"/>
      <c r="K24" s="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9"/>
      <c r="Y24" s="8"/>
      <c r="Z24" s="8"/>
      <c r="AA24" s="8"/>
      <c r="AB24" s="9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IF(A25="","",IF(COUNTIF('10 - RECOVERY'!$A$9:$A$58,A25)&gt;1,"DUPLICATE ID ","")&amp;IF(ReviewDate="","SET REVIEW DATE ","")&amp;IF(W25="","RECOVERY TEST MISSING ","")&amp;IF(X25="","OBSERVATION DATE MISSING ","")&amp;IF(AND(AL25="Closed",OR(AD25="",AK25="")),"RECOVERY NOT DEMONSTRATED ","")&amp;IF(AND(ISNUMBER(X25),X25&lt;ReviewDate,AD25=""),"RECOVERY CHECK OVERDUE ",""))</f>
        <v/>
      </c>
      <c r="H25" s="11" t="str">
        <f t="shared" si="1"/>
        <v/>
      </c>
      <c r="I25" s="8"/>
      <c r="J25" s="8"/>
      <c r="K25" s="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/>
      <c r="Y25" s="8"/>
      <c r="Z25" s="8"/>
      <c r="AA25" s="8"/>
      <c r="AB25" s="9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IF(A26="","",IF(COUNTIF('10 - RECOVERY'!$A$9:$A$58,A26)&gt;1,"DUPLICATE ID ","")&amp;IF(ReviewDate="","SET REVIEW DATE ","")&amp;IF(W26="","RECOVERY TEST MISSING ","")&amp;IF(X26="","OBSERVATION DATE MISSING ","")&amp;IF(AND(AL26="Closed",OR(AD26="",AK26="")),"RECOVERY NOT DEMONSTRATED ","")&amp;IF(AND(ISNUMBER(X26),X26&lt;ReviewDate,AD26=""),"RECOVERY CHECK OVERDUE ",""))</f>
        <v/>
      </c>
      <c r="H26" s="11" t="str">
        <f t="shared" si="1"/>
        <v/>
      </c>
      <c r="I26" s="8"/>
      <c r="J26" s="8"/>
      <c r="K26" s="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9"/>
      <c r="Y26" s="8"/>
      <c r="Z26" s="8"/>
      <c r="AA26" s="8"/>
      <c r="AB26" s="9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IF(A27="","",IF(COUNTIF('10 - RECOVERY'!$A$9:$A$58,A27)&gt;1,"DUPLICATE ID ","")&amp;IF(ReviewDate="","SET REVIEW DATE ","")&amp;IF(W27="","RECOVERY TEST MISSING ","")&amp;IF(X27="","OBSERVATION DATE MISSING ","")&amp;IF(AND(AL27="Closed",OR(AD27="",AK27="")),"RECOVERY NOT DEMONSTRATED ","")&amp;IF(AND(ISNUMBER(X27),X27&lt;ReviewDate,AD27=""),"RECOVERY CHECK OVERDUE ",""))</f>
        <v/>
      </c>
      <c r="H27" s="11" t="str">
        <f t="shared" si="1"/>
        <v/>
      </c>
      <c r="I27" s="8"/>
      <c r="J27" s="8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9"/>
      <c r="Y27" s="8"/>
      <c r="Z27" s="8"/>
      <c r="AA27" s="8"/>
      <c r="AB27" s="9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IF(A28="","",IF(COUNTIF('10 - RECOVERY'!$A$9:$A$58,A28)&gt;1,"DUPLICATE ID ","")&amp;IF(ReviewDate="","SET REVIEW DATE ","")&amp;IF(W28="","RECOVERY TEST MISSING ","")&amp;IF(X28="","OBSERVATION DATE MISSING ","")&amp;IF(AND(AL28="Closed",OR(AD28="",AK28="")),"RECOVERY NOT DEMONSTRATED ","")&amp;IF(AND(ISNUMBER(X28),X28&lt;ReviewDate,AD28=""),"RECOVERY CHECK OVERDUE ",""))</f>
        <v/>
      </c>
      <c r="H28" s="11" t="str">
        <f t="shared" si="1"/>
        <v/>
      </c>
      <c r="I28" s="8"/>
      <c r="J28" s="8"/>
      <c r="K28" s="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9"/>
      <c r="Y28" s="8"/>
      <c r="Z28" s="8"/>
      <c r="AA28" s="8"/>
      <c r="AB28" s="9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IF(A29="","",IF(COUNTIF('10 - RECOVERY'!$A$9:$A$58,A29)&gt;1,"DUPLICATE ID ","")&amp;IF(ReviewDate="","SET REVIEW DATE ","")&amp;IF(W29="","RECOVERY TEST MISSING ","")&amp;IF(X29="","OBSERVATION DATE MISSING ","")&amp;IF(AND(AL29="Closed",OR(AD29="",AK29="")),"RECOVERY NOT DEMONSTRATED ","")&amp;IF(AND(ISNUMBER(X29),X29&lt;ReviewDate,AD29=""),"RECOVERY CHECK OVERDUE ",""))</f>
        <v/>
      </c>
      <c r="H29" s="11" t="str">
        <f t="shared" si="1"/>
        <v/>
      </c>
      <c r="I29" s="8"/>
      <c r="J29" s="8"/>
      <c r="K29" s="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/>
      <c r="Y29" s="8"/>
      <c r="Z29" s="8"/>
      <c r="AA29" s="8"/>
      <c r="AB29" s="9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IF(A30="","",IF(COUNTIF('10 - RECOVERY'!$A$9:$A$58,A30)&gt;1,"DUPLICATE ID ","")&amp;IF(ReviewDate="","SET REVIEW DATE ","")&amp;IF(W30="","RECOVERY TEST MISSING ","")&amp;IF(X30="","OBSERVATION DATE MISSING ","")&amp;IF(AND(AL30="Closed",OR(AD30="",AK30="")),"RECOVERY NOT DEMONSTRATED ","")&amp;IF(AND(ISNUMBER(X30),X30&lt;ReviewDate,AD30=""),"RECOVERY CHECK OVERDUE ",""))</f>
        <v/>
      </c>
      <c r="H30" s="11" t="str">
        <f t="shared" si="1"/>
        <v/>
      </c>
      <c r="I30" s="8"/>
      <c r="J30" s="8"/>
      <c r="K30" s="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  <c r="Y30" s="8"/>
      <c r="Z30" s="8"/>
      <c r="AA30" s="8"/>
      <c r="AB30" s="9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IF(A31="","",IF(COUNTIF('10 - RECOVERY'!$A$9:$A$58,A31)&gt;1,"DUPLICATE ID ","")&amp;IF(ReviewDate="","SET REVIEW DATE ","")&amp;IF(W31="","RECOVERY TEST MISSING ","")&amp;IF(X31="","OBSERVATION DATE MISSING ","")&amp;IF(AND(AL31="Closed",OR(AD31="",AK31="")),"RECOVERY NOT DEMONSTRATED ","")&amp;IF(AND(ISNUMBER(X31),X31&lt;ReviewDate,AD31=""),"RECOVERY CHECK OVERDUE ",""))</f>
        <v/>
      </c>
      <c r="H31" s="11" t="str">
        <f t="shared" si="1"/>
        <v/>
      </c>
      <c r="I31" s="8"/>
      <c r="J31" s="8"/>
      <c r="K31" s="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9"/>
      <c r="Y31" s="8"/>
      <c r="Z31" s="8"/>
      <c r="AA31" s="8"/>
      <c r="AB31" s="9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IF(A32="","",IF(COUNTIF('10 - RECOVERY'!$A$9:$A$58,A32)&gt;1,"DUPLICATE ID ","")&amp;IF(ReviewDate="","SET REVIEW DATE ","")&amp;IF(W32="","RECOVERY TEST MISSING ","")&amp;IF(X32="","OBSERVATION DATE MISSING ","")&amp;IF(AND(AL32="Closed",OR(AD32="",AK32="")),"RECOVERY NOT DEMONSTRATED ","")&amp;IF(AND(ISNUMBER(X32),X32&lt;ReviewDate,AD32=""),"RECOVERY CHECK OVERDUE ",""))</f>
        <v/>
      </c>
      <c r="H32" s="11" t="str">
        <f t="shared" si="1"/>
        <v/>
      </c>
      <c r="I32" s="8"/>
      <c r="J32" s="8"/>
      <c r="K32" s="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/>
      <c r="Y32" s="8"/>
      <c r="Z32" s="8"/>
      <c r="AA32" s="8"/>
      <c r="AB32" s="9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IF(A33="","",IF(COUNTIF('10 - RECOVERY'!$A$9:$A$58,A33)&gt;1,"DUPLICATE ID ","")&amp;IF(ReviewDate="","SET REVIEW DATE ","")&amp;IF(W33="","RECOVERY TEST MISSING ","")&amp;IF(X33="","OBSERVATION DATE MISSING ","")&amp;IF(AND(AL33="Closed",OR(AD33="",AK33="")),"RECOVERY NOT DEMONSTRATED ","")&amp;IF(AND(ISNUMBER(X33),X33&lt;ReviewDate,AD33=""),"RECOVERY CHECK OVERDUE ",""))</f>
        <v/>
      </c>
      <c r="H33" s="11" t="str">
        <f t="shared" si="1"/>
        <v/>
      </c>
      <c r="I33" s="8"/>
      <c r="J33" s="8"/>
      <c r="K33" s="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  <c r="Y33" s="8"/>
      <c r="Z33" s="8"/>
      <c r="AA33" s="8"/>
      <c r="AB33" s="9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IF(A34="","",IF(COUNTIF('10 - RECOVERY'!$A$9:$A$58,A34)&gt;1,"DUPLICATE ID ","")&amp;IF(ReviewDate="","SET REVIEW DATE ","")&amp;IF(W34="","RECOVERY TEST MISSING ","")&amp;IF(X34="","OBSERVATION DATE MISSING ","")&amp;IF(AND(AL34="Closed",OR(AD34="",AK34="")),"RECOVERY NOT DEMONSTRATED ","")&amp;IF(AND(ISNUMBER(X34),X34&lt;ReviewDate,AD34=""),"RECOVERY CHECK OVERDUE ",""))</f>
        <v/>
      </c>
      <c r="H34" s="11" t="str">
        <f t="shared" si="1"/>
        <v/>
      </c>
      <c r="I34" s="8"/>
      <c r="J34" s="8"/>
      <c r="K34" s="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9"/>
      <c r="Y34" s="8"/>
      <c r="Z34" s="8"/>
      <c r="AA34" s="8"/>
      <c r="AB34" s="9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IF(A35="","",IF(COUNTIF('10 - RECOVERY'!$A$9:$A$58,A35)&gt;1,"DUPLICATE ID ","")&amp;IF(ReviewDate="","SET REVIEW DATE ","")&amp;IF(W35="","RECOVERY TEST MISSING ","")&amp;IF(X35="","OBSERVATION DATE MISSING ","")&amp;IF(AND(AL35="Closed",OR(AD35="",AK35="")),"RECOVERY NOT DEMONSTRATED ","")&amp;IF(AND(ISNUMBER(X35),X35&lt;ReviewDate,AD35=""),"RECOVERY CHECK OVERDUE ",""))</f>
        <v/>
      </c>
      <c r="H35" s="11" t="str">
        <f t="shared" si="1"/>
        <v/>
      </c>
      <c r="I35" s="8"/>
      <c r="J35" s="8"/>
      <c r="K35" s="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  <c r="Y35" s="8"/>
      <c r="Z35" s="8"/>
      <c r="AA35" s="8"/>
      <c r="AB35" s="9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IF(A36="","",IF(COUNTIF('10 - RECOVERY'!$A$9:$A$58,A36)&gt;1,"DUPLICATE ID ","")&amp;IF(ReviewDate="","SET REVIEW DATE ","")&amp;IF(W36="","RECOVERY TEST MISSING ","")&amp;IF(X36="","OBSERVATION DATE MISSING ","")&amp;IF(AND(AL36="Closed",OR(AD36="",AK36="")),"RECOVERY NOT DEMONSTRATED ","")&amp;IF(AND(ISNUMBER(X36),X36&lt;ReviewDate,AD36=""),"RECOVERY CHECK OVERDUE ",""))</f>
        <v/>
      </c>
      <c r="H36" s="11" t="str">
        <f t="shared" si="1"/>
        <v/>
      </c>
      <c r="I36" s="8"/>
      <c r="J36" s="8"/>
      <c r="K36" s="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9"/>
      <c r="Y36" s="8"/>
      <c r="Z36" s="8"/>
      <c r="AA36" s="8"/>
      <c r="AB36" s="9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IF(A37="","",IF(COUNTIF('10 - RECOVERY'!$A$9:$A$58,A37)&gt;1,"DUPLICATE ID ","")&amp;IF(ReviewDate="","SET REVIEW DATE ","")&amp;IF(W37="","RECOVERY TEST MISSING ","")&amp;IF(X37="","OBSERVATION DATE MISSING ","")&amp;IF(AND(AL37="Closed",OR(AD37="",AK37="")),"RECOVERY NOT DEMONSTRATED ","")&amp;IF(AND(ISNUMBER(X37),X37&lt;ReviewDate,AD37=""),"RECOVERY CHECK OVERDUE ",""))</f>
        <v/>
      </c>
      <c r="H37" s="11" t="str">
        <f t="shared" si="1"/>
        <v/>
      </c>
      <c r="I37" s="8"/>
      <c r="J37" s="8"/>
      <c r="K37" s="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9"/>
      <c r="Y37" s="8"/>
      <c r="Z37" s="8"/>
      <c r="AA37" s="8"/>
      <c r="AB37" s="9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IF(A38="","",IF(COUNTIF('10 - RECOVERY'!$A$9:$A$58,A38)&gt;1,"DUPLICATE ID ","")&amp;IF(ReviewDate="","SET REVIEW DATE ","")&amp;IF(W38="","RECOVERY TEST MISSING ","")&amp;IF(X38="","OBSERVATION DATE MISSING ","")&amp;IF(AND(AL38="Closed",OR(AD38="",AK38="")),"RECOVERY NOT DEMONSTRATED ","")&amp;IF(AND(ISNUMBER(X38),X38&lt;ReviewDate,AD38=""),"RECOVERY CHECK OVERDUE ",""))</f>
        <v/>
      </c>
      <c r="H38" s="11" t="str">
        <f t="shared" si="1"/>
        <v/>
      </c>
      <c r="I38" s="8"/>
      <c r="J38" s="8"/>
      <c r="K38" s="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9"/>
      <c r="Y38" s="8"/>
      <c r="Z38" s="8"/>
      <c r="AA38" s="8"/>
      <c r="AB38" s="9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IF(A39="","",IF(COUNTIF('10 - RECOVERY'!$A$9:$A$58,A39)&gt;1,"DUPLICATE ID ","")&amp;IF(ReviewDate="","SET REVIEW DATE ","")&amp;IF(W39="","RECOVERY TEST MISSING ","")&amp;IF(X39="","OBSERVATION DATE MISSING ","")&amp;IF(AND(AL39="Closed",OR(AD39="",AK39="")),"RECOVERY NOT DEMONSTRATED ","")&amp;IF(AND(ISNUMBER(X39),X39&lt;ReviewDate,AD39=""),"RECOVERY CHECK OVERDUE ",""))</f>
        <v/>
      </c>
      <c r="H39" s="11" t="str">
        <f t="shared" si="1"/>
        <v/>
      </c>
      <c r="I39" s="8"/>
      <c r="J39" s="8"/>
      <c r="K39" s="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9"/>
      <c r="Y39" s="8"/>
      <c r="Z39" s="8"/>
      <c r="AA39" s="8"/>
      <c r="AB39" s="9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IF(A40="","",IF(COUNTIF('10 - RECOVERY'!$A$9:$A$58,A40)&gt;1,"DUPLICATE ID ","")&amp;IF(ReviewDate="","SET REVIEW DATE ","")&amp;IF(W40="","RECOVERY TEST MISSING ","")&amp;IF(X40="","OBSERVATION DATE MISSING ","")&amp;IF(AND(AL40="Closed",OR(AD40="",AK40="")),"RECOVERY NOT DEMONSTRATED ","")&amp;IF(AND(ISNUMBER(X40),X40&lt;ReviewDate,AD40=""),"RECOVERY CHECK OVERDUE ",""))</f>
        <v/>
      </c>
      <c r="H40" s="11" t="str">
        <f t="shared" si="1"/>
        <v/>
      </c>
      <c r="I40" s="8"/>
      <c r="J40" s="8"/>
      <c r="K40" s="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/>
      <c r="Y40" s="8"/>
      <c r="Z40" s="8"/>
      <c r="AA40" s="8"/>
      <c r="AB40" s="9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60" customHeight="1">
      <c r="A41" s="8"/>
      <c r="B41" s="8"/>
      <c r="C41" s="8"/>
      <c r="D41" s="8"/>
      <c r="E41" s="9"/>
      <c r="F41" s="11" t="str">
        <f t="shared" ref="F41:F58" si="2">IF(A41="","",IF(AL41="Closed","Critical",IF(G41&lt;&gt;"","Review","Routine")))</f>
        <v/>
      </c>
      <c r="G41" s="20" t="str">
        <f>IF(A41="","",IF(COUNTIF('10 - RECOVERY'!$A$9:$A$58,A41)&gt;1,"DUPLICATE ID ","")&amp;IF(ReviewDate="","SET REVIEW DATE ","")&amp;IF(W41="","RECOVERY TEST MISSING ","")&amp;IF(X41="","OBSERVATION DATE MISSING ","")&amp;IF(AND(AL41="Closed",OR(AD41="",AK41="")),"RECOVERY NOT DEMONSTRATED ","")&amp;IF(AND(ISNUMBER(X41),X41&lt;ReviewDate,AD41=""),"RECOVERY CHECK OVERDUE ",""))</f>
        <v/>
      </c>
      <c r="H41" s="11" t="str">
        <f t="shared" ref="H41:H58" si="3">IF(A41="","",IF(OR(W41="",X41=""),"Define observable recovery evidence and review date.","Test the intervention, sustained change and displaced risk."))</f>
        <v/>
      </c>
      <c r="I41" s="8"/>
      <c r="J41" s="8"/>
      <c r="K41" s="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9"/>
      <c r="Y41" s="8"/>
      <c r="Z41" s="8"/>
      <c r="AA41" s="8"/>
      <c r="AB41" s="9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60" customHeight="1">
      <c r="A42" s="8"/>
      <c r="B42" s="8"/>
      <c r="C42" s="8"/>
      <c r="D42" s="8"/>
      <c r="E42" s="9"/>
      <c r="F42" s="11" t="str">
        <f t="shared" si="2"/>
        <v/>
      </c>
      <c r="G42" s="20" t="str">
        <f>IF(A42="","",IF(COUNTIF('10 - RECOVERY'!$A$9:$A$58,A42)&gt;1,"DUPLICATE ID ","")&amp;IF(ReviewDate="","SET REVIEW DATE ","")&amp;IF(W42="","RECOVERY TEST MISSING ","")&amp;IF(X42="","OBSERVATION DATE MISSING ","")&amp;IF(AND(AL42="Closed",OR(AD42="",AK42="")),"RECOVERY NOT DEMONSTRATED ","")&amp;IF(AND(ISNUMBER(X42),X42&lt;ReviewDate,AD42=""),"RECOVERY CHECK OVERDUE ",""))</f>
        <v/>
      </c>
      <c r="H42" s="11" t="str">
        <f t="shared" si="3"/>
        <v/>
      </c>
      <c r="I42" s="8"/>
      <c r="J42" s="8"/>
      <c r="K42" s="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9"/>
      <c r="Y42" s="8"/>
      <c r="Z42" s="8"/>
      <c r="AA42" s="8"/>
      <c r="AB42" s="9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60" customHeight="1">
      <c r="A43" s="8"/>
      <c r="B43" s="8"/>
      <c r="C43" s="8"/>
      <c r="D43" s="8"/>
      <c r="E43" s="9"/>
      <c r="F43" s="11" t="str">
        <f t="shared" si="2"/>
        <v/>
      </c>
      <c r="G43" s="20" t="str">
        <f>IF(A43="","",IF(COUNTIF('10 - RECOVERY'!$A$9:$A$58,A43)&gt;1,"DUPLICATE ID ","")&amp;IF(ReviewDate="","SET REVIEW DATE ","")&amp;IF(W43="","RECOVERY TEST MISSING ","")&amp;IF(X43="","OBSERVATION DATE MISSING ","")&amp;IF(AND(AL43="Closed",OR(AD43="",AK43="")),"RECOVERY NOT DEMONSTRATED ","")&amp;IF(AND(ISNUMBER(X43),X43&lt;ReviewDate,AD43=""),"RECOVERY CHECK OVERDUE ",""))</f>
        <v/>
      </c>
      <c r="H43" s="11" t="str">
        <f t="shared" si="3"/>
        <v/>
      </c>
      <c r="I43" s="8"/>
      <c r="J43" s="8"/>
      <c r="K43" s="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9"/>
      <c r="Y43" s="8"/>
      <c r="Z43" s="8"/>
      <c r="AA43" s="8"/>
      <c r="AB43" s="9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60" customHeight="1">
      <c r="A44" s="8"/>
      <c r="B44" s="8"/>
      <c r="C44" s="8"/>
      <c r="D44" s="8"/>
      <c r="E44" s="9"/>
      <c r="F44" s="11" t="str">
        <f t="shared" si="2"/>
        <v/>
      </c>
      <c r="G44" s="20" t="str">
        <f>IF(A44="","",IF(COUNTIF('10 - RECOVERY'!$A$9:$A$58,A44)&gt;1,"DUPLICATE ID ","")&amp;IF(ReviewDate="","SET REVIEW DATE ","")&amp;IF(W44="","RECOVERY TEST MISSING ","")&amp;IF(X44="","OBSERVATION DATE MISSING ","")&amp;IF(AND(AL44="Closed",OR(AD44="",AK44="")),"RECOVERY NOT DEMONSTRATED ","")&amp;IF(AND(ISNUMBER(X44),X44&lt;ReviewDate,AD44=""),"RECOVERY CHECK OVERDUE ",""))</f>
        <v/>
      </c>
      <c r="H44" s="11" t="str">
        <f t="shared" si="3"/>
        <v/>
      </c>
      <c r="I44" s="8"/>
      <c r="J44" s="8"/>
      <c r="K44" s="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9"/>
      <c r="Y44" s="8"/>
      <c r="Z44" s="8"/>
      <c r="AA44" s="8"/>
      <c r="AB44" s="9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60" customHeight="1">
      <c r="A45" s="8"/>
      <c r="B45" s="8"/>
      <c r="C45" s="8"/>
      <c r="D45" s="8"/>
      <c r="E45" s="9"/>
      <c r="F45" s="11" t="str">
        <f t="shared" si="2"/>
        <v/>
      </c>
      <c r="G45" s="20" t="str">
        <f>IF(A45="","",IF(COUNTIF('10 - RECOVERY'!$A$9:$A$58,A45)&gt;1,"DUPLICATE ID ","")&amp;IF(ReviewDate="","SET REVIEW DATE ","")&amp;IF(W45="","RECOVERY TEST MISSING ","")&amp;IF(X45="","OBSERVATION DATE MISSING ","")&amp;IF(AND(AL45="Closed",OR(AD45="",AK45="")),"RECOVERY NOT DEMONSTRATED ","")&amp;IF(AND(ISNUMBER(X45),X45&lt;ReviewDate,AD45=""),"RECOVERY CHECK OVERDUE ",""))</f>
        <v/>
      </c>
      <c r="H45" s="11" t="str">
        <f t="shared" si="3"/>
        <v/>
      </c>
      <c r="I45" s="8"/>
      <c r="J45" s="8"/>
      <c r="K45" s="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9"/>
      <c r="Y45" s="8"/>
      <c r="Z45" s="8"/>
      <c r="AA45" s="8"/>
      <c r="AB45" s="9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60" customHeight="1">
      <c r="A46" s="8"/>
      <c r="B46" s="8"/>
      <c r="C46" s="8"/>
      <c r="D46" s="8"/>
      <c r="E46" s="9"/>
      <c r="F46" s="11" t="str">
        <f t="shared" si="2"/>
        <v/>
      </c>
      <c r="G46" s="20" t="str">
        <f>IF(A46="","",IF(COUNTIF('10 - RECOVERY'!$A$9:$A$58,A46)&gt;1,"DUPLICATE ID ","")&amp;IF(ReviewDate="","SET REVIEW DATE ","")&amp;IF(W46="","RECOVERY TEST MISSING ","")&amp;IF(X46="","OBSERVATION DATE MISSING ","")&amp;IF(AND(AL46="Closed",OR(AD46="",AK46="")),"RECOVERY NOT DEMONSTRATED ","")&amp;IF(AND(ISNUMBER(X46),X46&lt;ReviewDate,AD46=""),"RECOVERY CHECK OVERDUE ",""))</f>
        <v/>
      </c>
      <c r="H46" s="11" t="str">
        <f t="shared" si="3"/>
        <v/>
      </c>
      <c r="I46" s="8"/>
      <c r="J46" s="8"/>
      <c r="K46" s="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9"/>
      <c r="Y46" s="8"/>
      <c r="Z46" s="8"/>
      <c r="AA46" s="8"/>
      <c r="AB46" s="9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60" customHeight="1">
      <c r="A47" s="8"/>
      <c r="B47" s="8"/>
      <c r="C47" s="8"/>
      <c r="D47" s="8"/>
      <c r="E47" s="9"/>
      <c r="F47" s="11" t="str">
        <f t="shared" si="2"/>
        <v/>
      </c>
      <c r="G47" s="20" t="str">
        <f>IF(A47="","",IF(COUNTIF('10 - RECOVERY'!$A$9:$A$58,A47)&gt;1,"DUPLICATE ID ","")&amp;IF(ReviewDate="","SET REVIEW DATE ","")&amp;IF(W47="","RECOVERY TEST MISSING ","")&amp;IF(X47="","OBSERVATION DATE MISSING ","")&amp;IF(AND(AL47="Closed",OR(AD47="",AK47="")),"RECOVERY NOT DEMONSTRATED ","")&amp;IF(AND(ISNUMBER(X47),X47&lt;ReviewDate,AD47=""),"RECOVERY CHECK OVERDUE ",""))</f>
        <v/>
      </c>
      <c r="H47" s="11" t="str">
        <f t="shared" si="3"/>
        <v/>
      </c>
      <c r="I47" s="8"/>
      <c r="J47" s="8"/>
      <c r="K47" s="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9"/>
      <c r="Y47" s="8"/>
      <c r="Z47" s="8"/>
      <c r="AA47" s="8"/>
      <c r="AB47" s="9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60" customHeight="1">
      <c r="A48" s="8"/>
      <c r="B48" s="8"/>
      <c r="C48" s="8"/>
      <c r="D48" s="8"/>
      <c r="E48" s="9"/>
      <c r="F48" s="11" t="str">
        <f t="shared" si="2"/>
        <v/>
      </c>
      <c r="G48" s="20" t="str">
        <f>IF(A48="","",IF(COUNTIF('10 - RECOVERY'!$A$9:$A$58,A48)&gt;1,"DUPLICATE ID ","")&amp;IF(ReviewDate="","SET REVIEW DATE ","")&amp;IF(W48="","RECOVERY TEST MISSING ","")&amp;IF(X48="","OBSERVATION DATE MISSING ","")&amp;IF(AND(AL48="Closed",OR(AD48="",AK48="")),"RECOVERY NOT DEMONSTRATED ","")&amp;IF(AND(ISNUMBER(X48),X48&lt;ReviewDate,AD48=""),"RECOVERY CHECK OVERDUE ",""))</f>
        <v/>
      </c>
      <c r="H48" s="11" t="str">
        <f t="shared" si="3"/>
        <v/>
      </c>
      <c r="I48" s="8"/>
      <c r="J48" s="8"/>
      <c r="K48" s="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9"/>
      <c r="Y48" s="8"/>
      <c r="Z48" s="8"/>
      <c r="AA48" s="8"/>
      <c r="AB48" s="9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60" customHeight="1">
      <c r="A49" s="8"/>
      <c r="B49" s="8"/>
      <c r="C49" s="8"/>
      <c r="D49" s="8"/>
      <c r="E49" s="9"/>
      <c r="F49" s="11" t="str">
        <f t="shared" si="2"/>
        <v/>
      </c>
      <c r="G49" s="20" t="str">
        <f>IF(A49="","",IF(COUNTIF('10 - RECOVERY'!$A$9:$A$58,A49)&gt;1,"DUPLICATE ID ","")&amp;IF(ReviewDate="","SET REVIEW DATE ","")&amp;IF(W49="","RECOVERY TEST MISSING ","")&amp;IF(X49="","OBSERVATION DATE MISSING ","")&amp;IF(AND(AL49="Closed",OR(AD49="",AK49="")),"RECOVERY NOT DEMONSTRATED ","")&amp;IF(AND(ISNUMBER(X49),X49&lt;ReviewDate,AD49=""),"RECOVERY CHECK OVERDUE ",""))</f>
        <v/>
      </c>
      <c r="H49" s="11" t="str">
        <f t="shared" si="3"/>
        <v/>
      </c>
      <c r="I49" s="8"/>
      <c r="J49" s="8"/>
      <c r="K49" s="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9"/>
      <c r="Y49" s="8"/>
      <c r="Z49" s="8"/>
      <c r="AA49" s="8"/>
      <c r="AB49" s="9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60" customHeight="1">
      <c r="A50" s="8"/>
      <c r="B50" s="8"/>
      <c r="C50" s="8"/>
      <c r="D50" s="8"/>
      <c r="E50" s="9"/>
      <c r="F50" s="11" t="str">
        <f t="shared" si="2"/>
        <v/>
      </c>
      <c r="G50" s="20" t="str">
        <f>IF(A50="","",IF(COUNTIF('10 - RECOVERY'!$A$9:$A$58,A50)&gt;1,"DUPLICATE ID ","")&amp;IF(ReviewDate="","SET REVIEW DATE ","")&amp;IF(W50="","RECOVERY TEST MISSING ","")&amp;IF(X50="","OBSERVATION DATE MISSING ","")&amp;IF(AND(AL50="Closed",OR(AD50="",AK50="")),"RECOVERY NOT DEMONSTRATED ","")&amp;IF(AND(ISNUMBER(X50),X50&lt;ReviewDate,AD50=""),"RECOVERY CHECK OVERDUE ",""))</f>
        <v/>
      </c>
      <c r="H50" s="11" t="str">
        <f t="shared" si="3"/>
        <v/>
      </c>
      <c r="I50" s="8"/>
      <c r="J50" s="8"/>
      <c r="K50" s="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9"/>
      <c r="Y50" s="8"/>
      <c r="Z50" s="8"/>
      <c r="AA50" s="8"/>
      <c r="AB50" s="9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60" customHeight="1">
      <c r="A51" s="8"/>
      <c r="B51" s="8"/>
      <c r="C51" s="8"/>
      <c r="D51" s="8"/>
      <c r="E51" s="9"/>
      <c r="F51" s="11" t="str">
        <f t="shared" si="2"/>
        <v/>
      </c>
      <c r="G51" s="20" t="str">
        <f>IF(A51="","",IF(COUNTIF('10 - RECOVERY'!$A$9:$A$58,A51)&gt;1,"DUPLICATE ID ","")&amp;IF(ReviewDate="","SET REVIEW DATE ","")&amp;IF(W51="","RECOVERY TEST MISSING ","")&amp;IF(X51="","OBSERVATION DATE MISSING ","")&amp;IF(AND(AL51="Closed",OR(AD51="",AK51="")),"RECOVERY NOT DEMONSTRATED ","")&amp;IF(AND(ISNUMBER(X51),X51&lt;ReviewDate,AD51=""),"RECOVERY CHECK OVERDUE ",""))</f>
        <v/>
      </c>
      <c r="H51" s="11" t="str">
        <f t="shared" si="3"/>
        <v/>
      </c>
      <c r="I51" s="8"/>
      <c r="J51" s="8"/>
      <c r="K51" s="9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9"/>
      <c r="Y51" s="8"/>
      <c r="Z51" s="8"/>
      <c r="AA51" s="8"/>
      <c r="AB51" s="9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60" customHeight="1">
      <c r="A52" s="8"/>
      <c r="B52" s="8"/>
      <c r="C52" s="8"/>
      <c r="D52" s="8"/>
      <c r="E52" s="9"/>
      <c r="F52" s="11" t="str">
        <f t="shared" si="2"/>
        <v/>
      </c>
      <c r="G52" s="20" t="str">
        <f>IF(A52="","",IF(COUNTIF('10 - RECOVERY'!$A$9:$A$58,A52)&gt;1,"DUPLICATE ID ","")&amp;IF(ReviewDate="","SET REVIEW DATE ","")&amp;IF(W52="","RECOVERY TEST MISSING ","")&amp;IF(X52="","OBSERVATION DATE MISSING ","")&amp;IF(AND(AL52="Closed",OR(AD52="",AK52="")),"RECOVERY NOT DEMONSTRATED ","")&amp;IF(AND(ISNUMBER(X52),X52&lt;ReviewDate,AD52=""),"RECOVERY CHECK OVERDUE ",""))</f>
        <v/>
      </c>
      <c r="H52" s="11" t="str">
        <f t="shared" si="3"/>
        <v/>
      </c>
      <c r="I52" s="8"/>
      <c r="J52" s="8"/>
      <c r="K52" s="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9"/>
      <c r="Y52" s="8"/>
      <c r="Z52" s="8"/>
      <c r="AA52" s="8"/>
      <c r="AB52" s="9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60" customHeight="1">
      <c r="A53" s="8"/>
      <c r="B53" s="8"/>
      <c r="C53" s="8"/>
      <c r="D53" s="8"/>
      <c r="E53" s="9"/>
      <c r="F53" s="11" t="str">
        <f t="shared" si="2"/>
        <v/>
      </c>
      <c r="G53" s="20" t="str">
        <f>IF(A53="","",IF(COUNTIF('10 - RECOVERY'!$A$9:$A$58,A53)&gt;1,"DUPLICATE ID ","")&amp;IF(ReviewDate="","SET REVIEW DATE ","")&amp;IF(W53="","RECOVERY TEST MISSING ","")&amp;IF(X53="","OBSERVATION DATE MISSING ","")&amp;IF(AND(AL53="Closed",OR(AD53="",AK53="")),"RECOVERY NOT DEMONSTRATED ","")&amp;IF(AND(ISNUMBER(X53),X53&lt;ReviewDate,AD53=""),"RECOVERY CHECK OVERDUE ",""))</f>
        <v/>
      </c>
      <c r="H53" s="11" t="str">
        <f t="shared" si="3"/>
        <v/>
      </c>
      <c r="I53" s="8"/>
      <c r="J53" s="8"/>
      <c r="K53" s="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9"/>
      <c r="Y53" s="8"/>
      <c r="Z53" s="8"/>
      <c r="AA53" s="8"/>
      <c r="AB53" s="9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60" customHeight="1">
      <c r="A54" s="8"/>
      <c r="B54" s="8"/>
      <c r="C54" s="8"/>
      <c r="D54" s="8"/>
      <c r="E54" s="9"/>
      <c r="F54" s="11" t="str">
        <f t="shared" si="2"/>
        <v/>
      </c>
      <c r="G54" s="20" t="str">
        <f>IF(A54="","",IF(COUNTIF('10 - RECOVERY'!$A$9:$A$58,A54)&gt;1,"DUPLICATE ID ","")&amp;IF(ReviewDate="","SET REVIEW DATE ","")&amp;IF(W54="","RECOVERY TEST MISSING ","")&amp;IF(X54="","OBSERVATION DATE MISSING ","")&amp;IF(AND(AL54="Closed",OR(AD54="",AK54="")),"RECOVERY NOT DEMONSTRATED ","")&amp;IF(AND(ISNUMBER(X54),X54&lt;ReviewDate,AD54=""),"RECOVERY CHECK OVERDUE ",""))</f>
        <v/>
      </c>
      <c r="H54" s="11" t="str">
        <f t="shared" si="3"/>
        <v/>
      </c>
      <c r="I54" s="8"/>
      <c r="J54" s="8"/>
      <c r="K54" s="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9"/>
      <c r="Y54" s="8"/>
      <c r="Z54" s="8"/>
      <c r="AA54" s="8"/>
      <c r="AB54" s="9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60" customHeight="1">
      <c r="A55" s="8"/>
      <c r="B55" s="8"/>
      <c r="C55" s="8"/>
      <c r="D55" s="8"/>
      <c r="E55" s="9"/>
      <c r="F55" s="11" t="str">
        <f t="shared" si="2"/>
        <v/>
      </c>
      <c r="G55" s="20" t="str">
        <f>IF(A55="","",IF(COUNTIF('10 - RECOVERY'!$A$9:$A$58,A55)&gt;1,"DUPLICATE ID ","")&amp;IF(ReviewDate="","SET REVIEW DATE ","")&amp;IF(W55="","RECOVERY TEST MISSING ","")&amp;IF(X55="","OBSERVATION DATE MISSING ","")&amp;IF(AND(AL55="Closed",OR(AD55="",AK55="")),"RECOVERY NOT DEMONSTRATED ","")&amp;IF(AND(ISNUMBER(X55),X55&lt;ReviewDate,AD55=""),"RECOVERY CHECK OVERDUE ",""))</f>
        <v/>
      </c>
      <c r="H55" s="11" t="str">
        <f t="shared" si="3"/>
        <v/>
      </c>
      <c r="I55" s="8"/>
      <c r="J55" s="8"/>
      <c r="K55" s="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9"/>
      <c r="Y55" s="8"/>
      <c r="Z55" s="8"/>
      <c r="AA55" s="8"/>
      <c r="AB55" s="9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60" customHeight="1">
      <c r="A56" s="8"/>
      <c r="B56" s="8"/>
      <c r="C56" s="8"/>
      <c r="D56" s="8"/>
      <c r="E56" s="9"/>
      <c r="F56" s="11" t="str">
        <f t="shared" si="2"/>
        <v/>
      </c>
      <c r="G56" s="20" t="str">
        <f>IF(A56="","",IF(COUNTIF('10 - RECOVERY'!$A$9:$A$58,A56)&gt;1,"DUPLICATE ID ","")&amp;IF(ReviewDate="","SET REVIEW DATE ","")&amp;IF(W56="","RECOVERY TEST MISSING ","")&amp;IF(X56="","OBSERVATION DATE MISSING ","")&amp;IF(AND(AL56="Closed",OR(AD56="",AK56="")),"RECOVERY NOT DEMONSTRATED ","")&amp;IF(AND(ISNUMBER(X56),X56&lt;ReviewDate,AD56=""),"RECOVERY CHECK OVERDUE ",""))</f>
        <v/>
      </c>
      <c r="H56" s="11" t="str">
        <f t="shared" si="3"/>
        <v/>
      </c>
      <c r="I56" s="8"/>
      <c r="J56" s="8"/>
      <c r="K56" s="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9"/>
      <c r="Y56" s="8"/>
      <c r="Z56" s="8"/>
      <c r="AA56" s="8"/>
      <c r="AB56" s="9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60" customHeight="1">
      <c r="A57" s="8"/>
      <c r="B57" s="8"/>
      <c r="C57" s="8"/>
      <c r="D57" s="8"/>
      <c r="E57" s="9"/>
      <c r="F57" s="11" t="str">
        <f t="shared" si="2"/>
        <v/>
      </c>
      <c r="G57" s="20" t="str">
        <f>IF(A57="","",IF(COUNTIF('10 - RECOVERY'!$A$9:$A$58,A57)&gt;1,"DUPLICATE ID ","")&amp;IF(ReviewDate="","SET REVIEW DATE ","")&amp;IF(W57="","RECOVERY TEST MISSING ","")&amp;IF(X57="","OBSERVATION DATE MISSING ","")&amp;IF(AND(AL57="Closed",OR(AD57="",AK57="")),"RECOVERY NOT DEMONSTRATED ","")&amp;IF(AND(ISNUMBER(X57),X57&lt;ReviewDate,AD57=""),"RECOVERY CHECK OVERDUE ",""))</f>
        <v/>
      </c>
      <c r="H57" s="11" t="str">
        <f t="shared" si="3"/>
        <v/>
      </c>
      <c r="I57" s="8"/>
      <c r="J57" s="8"/>
      <c r="K57" s="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9"/>
      <c r="Y57" s="8"/>
      <c r="Z57" s="8"/>
      <c r="AA57" s="8"/>
      <c r="AB57" s="9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60" customHeight="1">
      <c r="A58" s="8"/>
      <c r="B58" s="8"/>
      <c r="C58" s="8"/>
      <c r="D58" s="8"/>
      <c r="E58" s="9"/>
      <c r="F58" s="11" t="str">
        <f t="shared" si="2"/>
        <v/>
      </c>
      <c r="G58" s="20" t="str">
        <f>IF(A58="","",IF(COUNTIF('10 - RECOVERY'!$A$9:$A$58,A58)&gt;1,"DUPLICATE ID ","")&amp;IF(ReviewDate="","SET REVIEW DATE ","")&amp;IF(W58="","RECOVERY TEST MISSING ","")&amp;IF(X58="","OBSERVATION DATE MISSING ","")&amp;IF(AND(AL58="Closed",OR(AD58="",AK58="")),"RECOVERY NOT DEMONSTRATED ","")&amp;IF(AND(ISNUMBER(X58),X58&lt;ReviewDate,AD58=""),"RECOVERY CHECK OVERDUE ",""))</f>
        <v/>
      </c>
      <c r="H58" s="11" t="str">
        <f t="shared" si="3"/>
        <v/>
      </c>
      <c r="I58" s="8"/>
      <c r="J58" s="8"/>
      <c r="K58" s="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9"/>
      <c r="Y58" s="8"/>
      <c r="Z58" s="8"/>
      <c r="AA58" s="8"/>
      <c r="AB58" s="9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</sheetData>
  <mergeCells count="1">
    <mergeCell ref="A4:J4"/>
  </mergeCells>
  <conditionalFormatting sqref="F9:F58">
    <cfRule type="containsText" dxfId="3" priority="2" operator="containsText" text="Critical"/>
  </conditionalFormatting>
  <conditionalFormatting sqref="G9:G58">
    <cfRule type="containsText" dxfId="2" priority="1" operator="containsText" text="MISSING"/>
  </conditionalFormatting>
  <dataValidations count="4">
    <dataValidation type="list" sqref="C9:C58" xr:uid="{00000000-0002-0000-0A00-000000000000}">
      <formula1>RESET</formula1>
    </dataValidation>
    <dataValidation type="list" sqref="AL9:AL58" xr:uid="{00000000-0002-0000-0A00-000001000000}">
      <formula1>WorkStatus</formula1>
    </dataValidation>
    <dataValidation type="list" sqref="AM9:AM58" xr:uid="{00000000-0002-0000-0A00-000002000000}">
      <formula1>DecisionIDs</formula1>
    </dataValidation>
    <dataValidation type="list" sqref="AN9:AN58" xr:uid="{00000000-0002-0000-0A00-000003000000}">
      <formula1>DependencyIDs</formula1>
    </dataValidation>
  </dataValidations>
  <hyperlinks>
    <hyperlink ref="A6" location="'00 - START HERE'!A1" display="Start here" xr:uid="{00000000-0004-0000-0A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6343C"/>
  </sheetPr>
  <dimension ref="A1:AA75"/>
  <sheetViews>
    <sheetView showGridLines="0" zoomScale="85" workbookViewId="0"/>
  </sheetViews>
  <sheetFormatPr defaultRowHeight="14.25"/>
  <cols>
    <col min="1" max="8" width="20" customWidth="1"/>
    <col min="27" max="27" width="0" hidden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</row>
    <row r="2" spans="1:10" ht="32.1" customHeight="1">
      <c r="A2" s="2" t="s">
        <v>494</v>
      </c>
      <c r="B2" s="1"/>
      <c r="C2" s="1"/>
      <c r="D2" s="1"/>
      <c r="E2" s="1"/>
      <c r="F2" s="1"/>
      <c r="G2" s="1"/>
      <c r="H2" s="1"/>
    </row>
    <row r="3" spans="1:10" ht="24" customHeight="1">
      <c r="A3" s="1"/>
      <c r="B3" s="1"/>
      <c r="C3" s="1"/>
      <c r="D3" s="1"/>
      <c r="E3" s="1"/>
      <c r="F3" s="1"/>
      <c r="G3" s="1"/>
      <c r="H3" s="1"/>
    </row>
    <row r="4" spans="1:10" ht="33.950000000000003" customHeight="1">
      <c r="A4" s="21" t="s">
        <v>495</v>
      </c>
      <c r="B4" s="21"/>
      <c r="C4" s="21"/>
      <c r="D4" s="21"/>
      <c r="E4" s="21"/>
      <c r="F4" s="21"/>
      <c r="G4" s="21"/>
      <c r="H4" s="21"/>
    </row>
    <row r="5" spans="1:10" ht="24" customHeight="1">
      <c r="A5" s="1"/>
      <c r="B5" s="1"/>
      <c r="C5" s="1"/>
      <c r="D5" s="1"/>
      <c r="E5" s="1"/>
      <c r="F5" s="1"/>
      <c r="G5" s="1"/>
      <c r="H5" s="1"/>
    </row>
    <row r="6" spans="1:10" ht="24" customHeight="1">
      <c r="A6" s="4" t="s">
        <v>2</v>
      </c>
      <c r="B6" s="1"/>
      <c r="C6" s="1"/>
      <c r="D6" s="1"/>
      <c r="E6" s="1"/>
      <c r="F6" s="1"/>
      <c r="G6" s="1"/>
      <c r="H6" s="1"/>
    </row>
    <row r="7" spans="1:10" ht="24" customHeight="1">
      <c r="A7" s="1"/>
      <c r="B7" s="1"/>
      <c r="C7" s="1"/>
      <c r="D7" s="1"/>
      <c r="E7" s="1"/>
      <c r="F7" s="1"/>
      <c r="G7" s="1"/>
      <c r="H7" s="1"/>
    </row>
    <row r="8" spans="1:10" ht="33.950000000000003" customHeight="1">
      <c r="A8" s="21" t="s">
        <v>496</v>
      </c>
      <c r="B8" s="21"/>
      <c r="C8" s="21"/>
      <c r="D8" s="21"/>
      <c r="E8" s="21"/>
      <c r="F8" s="21"/>
      <c r="G8" s="21"/>
      <c r="H8" s="21"/>
      <c r="I8" s="23"/>
      <c r="J8" s="23"/>
    </row>
    <row r="9" spans="1:10" ht="24" customHeight="1">
      <c r="A9" s="21" t="str">
        <f>'03 - HEALTH REVIEW'!K9&amp;". Next action: "&amp;'03 - HEALTH REVIEW'!G9</f>
        <v>Need reconfirmed 22 Sep; remaining cost open (24 Sep 2026). Next action: Validate remaining cost</v>
      </c>
      <c r="B9" s="21"/>
      <c r="C9" s="21"/>
      <c r="D9" s="21"/>
      <c r="E9" s="21"/>
      <c r="F9" s="21"/>
      <c r="G9" s="21"/>
      <c r="H9" s="21"/>
    </row>
    <row r="10" spans="1:10" ht="24" customHeight="1">
      <c r="A10" s="21"/>
      <c r="B10" s="21"/>
      <c r="C10" s="21"/>
      <c r="D10" s="21"/>
      <c r="E10" s="21"/>
      <c r="F10" s="21"/>
      <c r="G10" s="21"/>
      <c r="H10" s="21"/>
    </row>
    <row r="11" spans="1:10" ht="24" customHeight="1">
      <c r="A11" s="1"/>
      <c r="B11" s="1"/>
      <c r="C11" s="1"/>
      <c r="D11" s="1"/>
      <c r="E11" s="1"/>
      <c r="F11" s="1"/>
      <c r="G11" s="1"/>
      <c r="H11" s="1"/>
    </row>
    <row r="12" spans="1:10" ht="33.950000000000003" customHeight="1">
      <c r="A12" s="5" t="s">
        <v>6</v>
      </c>
      <c r="B12" s="5" t="s">
        <v>497</v>
      </c>
      <c r="C12" s="5" t="s">
        <v>498</v>
      </c>
      <c r="D12" s="5" t="s">
        <v>499</v>
      </c>
      <c r="E12" s="5" t="s">
        <v>133</v>
      </c>
      <c r="F12" s="5" t="s">
        <v>108</v>
      </c>
      <c r="G12" s="5" t="s">
        <v>109</v>
      </c>
      <c r="H12" s="1"/>
    </row>
    <row r="13" spans="1:10" ht="48" customHeight="1">
      <c r="A13" s="10" t="s">
        <v>8</v>
      </c>
      <c r="B13" s="10" t="str">
        <f>IF(COUNTIFS('14 - REVIEW HISTORY'!$A$9:$A$108,PreviousReview,'14 - REVIEW HISTORY'!$B$9:$B$108,A13)=0,"No prior snapshot",IF(COUNTIFS('14 - REVIEW HISTORY'!$A$9:$A$108,PreviousReview,'14 - REVIEW HISTORY'!$B$9:$B$108,A13)&gt;1,"Duplicate snapshot",LOOKUP(2,1/(('14 - REVIEW HISTORY'!$A$9:$A$108=PreviousReview)*('14 - REVIEW HISTORY'!$B$9:$B$108=A13)),'14 - REVIEW HISTORY'!$D$9:$D$108)))</f>
        <v>Stable</v>
      </c>
      <c r="C13" s="10" t="str">
        <f>IF(COUNTIF('03 - HEALTH REVIEW'!$B$9:$B$15,A13)&lt;&gt;1,"Check control key",IF(INDEX('03 - HEALTH REVIEW'!$D$9:$D$15,MATCH(A13,'03 - HEALTH REVIEW'!$B$9:$B$15,0))="","No assessment",INDEX('03 - HEALTH REVIEW'!$D$9:$D$15,MATCH(A13,'03 - HEALTH REVIEW'!$B$9:$B$15,0))))</f>
        <v>Stable</v>
      </c>
      <c r="D13" s="10" t="str">
        <f t="shared" ref="D13:D19" si="0">IF(OR(B13="No prior snapshot",B13="Duplicate snapshot"),"Not comparable",IF(B13=C13,"Unchanged","Changed"))</f>
        <v>Unchanged</v>
      </c>
      <c r="E13" s="10" t="str">
        <f>IF(COUNTIF('03 - HEALTH REVIEW'!$B$9:$B$15,A13)&lt;&gt;1,"",IF(INDEX('03 - HEALTH REVIEW'!$G$9:$G$15,MATCH(A13,'03 - HEALTH REVIEW'!$B$9:$B$15,0))="","",INDEX('03 - HEALTH REVIEW'!$G$9:$G$15,MATCH(A13,'03 - HEALTH REVIEW'!$B$9:$B$15,0))))</f>
        <v>Validate remaining cost</v>
      </c>
      <c r="F13" s="10" t="str">
        <f>IF(COUNTIF('03 - HEALTH REVIEW'!$B$9:$B$15,A13)&lt;&gt;1,"",IF(INDEX('03 - HEALTH REVIEW'!$H$9:$H$15,MATCH(A13,'03 - HEALTH REVIEW'!$B$9:$B$15,0))="","",INDEX('03 - HEALTH REVIEW'!$H$9:$H$15,MATCH(A13,'03 - HEALTH REVIEW'!$B$9:$B$15,0))))</f>
        <v>Sponsor</v>
      </c>
      <c r="G13" s="12">
        <f>IF(COUNTIF('03 - HEALTH REVIEW'!$B$9:$B$15,A13)&lt;&gt;1,"",IF(INDEX('03 - HEALTH REVIEW'!$I$9:$I$15,MATCH(A13,'03 - HEALTH REVIEW'!$B$9:$B$15,0))="","",INDEX('03 - HEALTH REVIEW'!$I$9:$I$15,MATCH(A13,'03 - HEALTH REVIEW'!$B$9:$B$15,0))))</f>
        <v>46293</v>
      </c>
      <c r="H13" s="1"/>
    </row>
    <row r="14" spans="1:10" ht="48" customHeight="1">
      <c r="A14" s="10" t="s">
        <v>10</v>
      </c>
      <c r="B14" s="10" t="str">
        <f>IF(COUNTIFS('14 - REVIEW HISTORY'!$A$9:$A$108,PreviousReview,'14 - REVIEW HISTORY'!$B$9:$B$108,A14)=0,"No prior snapshot",IF(COUNTIFS('14 - REVIEW HISTORY'!$A$9:$A$108,PreviousReview,'14 - REVIEW HISTORY'!$B$9:$B$108,A14)&gt;1,"Duplicate snapshot",LOOKUP(2,1/(('14 - REVIEW HISTORY'!$A$9:$A$108=PreviousReview)*('14 - REVIEW HISTORY'!$B$9:$B$108=A14)),'14 - REVIEW HISTORY'!$D$9:$D$108)))</f>
        <v>Deteriorating</v>
      </c>
      <c r="C14" s="10" t="str">
        <f>IF(COUNTIF('03 - HEALTH REVIEW'!$B$9:$B$15,A14)&lt;&gt;1,"Check control key",IF(INDEX('03 - HEALTH REVIEW'!$D$9:$D$15,MATCH(A14,'03 - HEALTH REVIEW'!$B$9:$B$15,0))="","No assessment",INDEX('03 - HEALTH REVIEW'!$D$9:$D$15,MATCH(A14,'03 - HEALTH REVIEW'!$B$9:$B$15,0))))</f>
        <v>Deteriorating</v>
      </c>
      <c r="D14" s="10" t="str">
        <f t="shared" si="0"/>
        <v>Unchanged</v>
      </c>
      <c r="E14" s="10" t="str">
        <f>IF(COUNTIF('03 - HEALTH REVIEW'!$B$9:$B$15,A14)&lt;&gt;1,"",IF(INDEX('03 - HEALTH REVIEW'!$G$9:$G$15,MATCH(A14,'03 - HEALTH REVIEW'!$B$9:$B$15,0))="","",INDEX('03 - HEALTH REVIEW'!$G$9:$G$15,MATCH(A14,'03 - HEALTH REVIEW'!$B$9:$B$15,0))))</f>
        <v>Limit new starts</v>
      </c>
      <c r="F14" s="10" t="str">
        <f>IF(COUNTIF('03 - HEALTH REVIEW'!$B$9:$B$15,A14)&lt;&gt;1,"",IF(INDEX('03 - HEALTH REVIEW'!$H$9:$H$15,MATCH(A14,'03 - HEALTH REVIEW'!$B$9:$B$15,0))="","",INDEX('03 - HEALTH REVIEW'!$H$9:$H$15,MATCH(A14,'03 - HEALTH REVIEW'!$B$9:$B$15,0))))</f>
        <v>Delivery lead</v>
      </c>
      <c r="G14" s="12">
        <f>IF(COUNTIF('03 - HEALTH REVIEW'!$B$9:$B$15,A14)&lt;&gt;1,"",IF(INDEX('03 - HEALTH REVIEW'!$I$9:$I$15,MATCH(A14,'03 - HEALTH REVIEW'!$B$9:$B$15,0))="","",INDEX('03 - HEALTH REVIEW'!$I$9:$I$15,MATCH(A14,'03 - HEALTH REVIEW'!$B$9:$B$15,0))))</f>
        <v>46290</v>
      </c>
      <c r="H14" s="1"/>
    </row>
    <row r="15" spans="1:10" ht="48" customHeight="1">
      <c r="A15" s="10" t="s">
        <v>12</v>
      </c>
      <c r="B15" s="10" t="str">
        <f>IF(COUNTIFS('14 - REVIEW HISTORY'!$A$9:$A$108,PreviousReview,'14 - REVIEW HISTORY'!$B$9:$B$108,A15)=0,"No prior snapshot",IF(COUNTIFS('14 - REVIEW HISTORY'!$A$9:$A$108,PreviousReview,'14 - REVIEW HISTORY'!$B$9:$B$108,A15)&gt;1,"Duplicate snapshot",LOOKUP(2,1/(('14 - REVIEW HISTORY'!$A$9:$A$108=PreviousReview)*('14 - REVIEW HISTORY'!$B$9:$B$108=A15)),'14 - REVIEW HISTORY'!$D$9:$D$108)))</f>
        <v>Stable</v>
      </c>
      <c r="C15" s="10" t="str">
        <f>IF(COUNTIF('03 - HEALTH REVIEW'!$B$9:$B$15,A15)&lt;&gt;1,"Check control key",IF(INDEX('03 - HEALTH REVIEW'!$D$9:$D$15,MATCH(A15,'03 - HEALTH REVIEW'!$B$9:$B$15,0))="","No assessment",INDEX('03 - HEALTH REVIEW'!$D$9:$D$15,MATCH(A15,'03 - HEALTH REVIEW'!$B$9:$B$15,0))))</f>
        <v>Deteriorating</v>
      </c>
      <c r="D15" s="10" t="str">
        <f t="shared" si="0"/>
        <v>Changed</v>
      </c>
      <c r="E15" s="10" t="str">
        <f>IF(COUNTIF('03 - HEALTH REVIEW'!$B$9:$B$15,A15)&lt;&gt;1,"",IF(INDEX('03 - HEALTH REVIEW'!$G$9:$G$15,MATCH(A15,'03 - HEALTH REVIEW'!$B$9:$B$15,0))="","",INDEX('03 - HEALTH REVIEW'!$G$9:$G$15,MATCH(A15,'03 - HEALTH REVIEW'!$B$9:$B$15,0))))</f>
        <v>Agree alternative sequence</v>
      </c>
      <c r="F15" s="10" t="str">
        <f>IF(COUNTIF('03 - HEALTH REVIEW'!$B$9:$B$15,A15)&lt;&gt;1,"",IF(INDEX('03 - HEALTH REVIEW'!$H$9:$H$15,MATCH(A15,'03 - HEALTH REVIEW'!$B$9:$B$15,0))="","",INDEX('03 - HEALTH REVIEW'!$H$9:$H$15,MATCH(A15,'03 - HEALTH REVIEW'!$B$9:$B$15,0))))</f>
        <v>Network owner</v>
      </c>
      <c r="G15" s="12">
        <f>IF(COUNTIF('03 - HEALTH REVIEW'!$B$9:$B$15,A15)&lt;&gt;1,"",IF(INDEX('03 - HEALTH REVIEW'!$I$9:$I$15,MATCH(A15,'03 - HEALTH REVIEW'!$B$9:$B$15,0))="","",INDEX('03 - HEALTH REVIEW'!$I$9:$I$15,MATCH(A15,'03 - HEALTH REVIEW'!$B$9:$B$15,0))))</f>
        <v>46290</v>
      </c>
      <c r="H15" s="1"/>
    </row>
    <row r="16" spans="1:10" ht="48" customHeight="1">
      <c r="A16" s="10" t="s">
        <v>14</v>
      </c>
      <c r="B16" s="10" t="str">
        <f>IF(COUNTIFS('14 - REVIEW HISTORY'!$A$9:$A$108,PreviousReview,'14 - REVIEW HISTORY'!$B$9:$B$108,A16)=0,"No prior snapshot",IF(COUNTIFS('14 - REVIEW HISTORY'!$A$9:$A$108,PreviousReview,'14 - REVIEW HISTORY'!$B$9:$B$108,A16)&gt;1,"Duplicate snapshot",LOOKUP(2,1/(('14 - REVIEW HISTORY'!$A$9:$A$108=PreviousReview)*('14 - REVIEW HISTORY'!$B$9:$B$108=A16)),'14 - REVIEW HISTORY'!$D$9:$D$108)))</f>
        <v>Stable</v>
      </c>
      <c r="C16" s="10" t="str">
        <f>IF(COUNTIF('03 - HEALTH REVIEW'!$B$9:$B$15,A16)&lt;&gt;1,"Check control key",IF(INDEX('03 - HEALTH REVIEW'!$D$9:$D$15,MATCH(A16,'03 - HEALTH REVIEW'!$B$9:$B$15,0))="","No assessment",INDEX('03 - HEALTH REVIEW'!$D$9:$D$15,MATCH(A16,'03 - HEALTH REVIEW'!$B$9:$B$15,0))))</f>
        <v>Deteriorating</v>
      </c>
      <c r="D16" s="10" t="str">
        <f t="shared" si="0"/>
        <v>Changed</v>
      </c>
      <c r="E16" s="10" t="str">
        <f>IF(COUNTIF('03 - HEALTH REVIEW'!$B$9:$B$15,A16)&lt;&gt;1,"",IF(INDEX('03 - HEALTH REVIEW'!$G$9:$G$15,MATCH(A16,'03 - HEALTH REVIEW'!$B$9:$B$15,0))="","",INDEX('03 - HEALTH REVIEW'!$G$9:$G$15,MATCH(A16,'03 - HEALTH REVIEW'!$B$9:$B$15,0))))</f>
        <v>Select release option</v>
      </c>
      <c r="F16" s="10" t="str">
        <f>IF(COUNTIF('03 - HEALTH REVIEW'!$B$9:$B$15,A16)&lt;&gt;1,"",IF(INDEX('03 - HEALTH REVIEW'!$H$9:$H$15,MATCH(A16,'03 - HEALTH REVIEW'!$B$9:$B$15,0))="","",INDEX('03 - HEALTH REVIEW'!$H$9:$H$15,MATCH(A16,'03 - HEALTH REVIEW'!$B$9:$B$15,0))))</f>
        <v>Sponsor</v>
      </c>
      <c r="G16" s="12">
        <f>IF(COUNTIF('03 - HEALTH REVIEW'!$B$9:$B$15,A16)&lt;&gt;1,"",IF(INDEX('03 - HEALTH REVIEW'!$I$9:$I$15,MATCH(A16,'03 - HEALTH REVIEW'!$B$9:$B$15,0))="","",INDEX('03 - HEALTH REVIEW'!$I$9:$I$15,MATCH(A16,'03 - HEALTH REVIEW'!$B$9:$B$15,0))))</f>
        <v>46290</v>
      </c>
      <c r="H16" s="1"/>
    </row>
    <row r="17" spans="1:27" ht="48" customHeight="1">
      <c r="A17" s="10" t="s">
        <v>16</v>
      </c>
      <c r="B17" s="10" t="str">
        <f>IF(COUNTIFS('14 - REVIEW HISTORY'!$A$9:$A$108,PreviousReview,'14 - REVIEW HISTORY'!$B$9:$B$108,A17)=0,"No prior snapshot",IF(COUNTIFS('14 - REVIEW HISTORY'!$A$9:$A$108,PreviousReview,'14 - REVIEW HISTORY'!$B$9:$B$108,A17)&gt;1,"Duplicate snapshot",LOOKUP(2,1/(('14 - REVIEW HISTORY'!$A$9:$A$108=PreviousReview)*('14 - REVIEW HISTORY'!$B$9:$B$108=A17)),'14 - REVIEW HISTORY'!$D$9:$D$108)))</f>
        <v>Stable</v>
      </c>
      <c r="C17" s="10" t="str">
        <f>IF(COUNTIF('03 - HEALTH REVIEW'!$B$9:$B$15,A17)&lt;&gt;1,"Check control key",IF(INDEX('03 - HEALTH REVIEW'!$D$9:$D$15,MATCH(A17,'03 - HEALTH REVIEW'!$B$9:$B$15,0))="","No assessment",INDEX('03 - HEALTH REVIEW'!$D$9:$D$15,MATCH(A17,'03 - HEALTH REVIEW'!$B$9:$B$15,0))))</f>
        <v>Unclear</v>
      </c>
      <c r="D17" s="10" t="str">
        <f t="shared" si="0"/>
        <v>Changed</v>
      </c>
      <c r="E17" s="10" t="str">
        <f>IF(COUNTIF('03 - HEALTH REVIEW'!$B$9:$B$15,A17)&lt;&gt;1,"",IF(INDEX('03 - HEALTH REVIEW'!$G$9:$G$15,MATCH(A17,'03 - HEALTH REVIEW'!$B$9:$B$15,0))="","",INDEX('03 - HEALTH REVIEW'!$G$9:$G$15,MATCH(A17,'03 - HEALTH REVIEW'!$B$9:$B$15,0))))</f>
        <v>Commission representative rehearsal</v>
      </c>
      <c r="F17" s="10" t="str">
        <f>IF(COUNTIF('03 - HEALTH REVIEW'!$B$9:$B$15,A17)&lt;&gt;1,"",IF(INDEX('03 - HEALTH REVIEW'!$H$9:$H$15,MATCH(A17,'03 - HEALTH REVIEW'!$B$9:$B$15,0))="","",INDEX('03 - HEALTH REVIEW'!$H$9:$H$15,MATCH(A17,'03 - HEALTH REVIEW'!$B$9:$B$15,0))))</f>
        <v>Assurance lead</v>
      </c>
      <c r="G17" s="12">
        <f>IF(COUNTIF('03 - HEALTH REVIEW'!$B$9:$B$15,A17)&lt;&gt;1,"",IF(INDEX('03 - HEALTH REVIEW'!$I$9:$I$15,MATCH(A17,'03 - HEALTH REVIEW'!$B$9:$B$15,0))="","",INDEX('03 - HEALTH REVIEW'!$I$9:$I$15,MATCH(A17,'03 - HEALTH REVIEW'!$B$9:$B$15,0))))</f>
        <v>46294</v>
      </c>
      <c r="H17" s="1"/>
    </row>
    <row r="18" spans="1:27" ht="48" customHeight="1">
      <c r="A18" s="10" t="s">
        <v>18</v>
      </c>
      <c r="B18" s="10" t="str">
        <f>IF(COUNTIFS('14 - REVIEW HISTORY'!$A$9:$A$108,PreviousReview,'14 - REVIEW HISTORY'!$B$9:$B$108,A18)=0,"No prior snapshot",IF(COUNTIFS('14 - REVIEW HISTORY'!$A$9:$A$108,PreviousReview,'14 - REVIEW HISTORY'!$B$9:$B$108,A18)&gt;1,"Duplicate snapshot",LOOKUP(2,1/(('14 - REVIEW HISTORY'!$A$9:$A$108=PreviousReview)*('14 - REVIEW HISTORY'!$B$9:$B$108=A18)),'14 - REVIEW HISTORY'!$D$9:$D$108)))</f>
        <v>Stable</v>
      </c>
      <c r="C18" s="10" t="str">
        <f>IF(COUNTIF('03 - HEALTH REVIEW'!$B$9:$B$15,A18)&lt;&gt;1,"Check control key",IF(INDEX('03 - HEALTH REVIEW'!$D$9:$D$15,MATCH(A18,'03 - HEALTH REVIEW'!$B$9:$B$15,0))="","No assessment",INDEX('03 - HEALTH REVIEW'!$D$9:$D$15,MATCH(A18,'03 - HEALTH REVIEW'!$B$9:$B$15,0))))</f>
        <v>Stable</v>
      </c>
      <c r="D18" s="10" t="str">
        <f t="shared" si="0"/>
        <v>Unchanged</v>
      </c>
      <c r="E18" s="10" t="str">
        <f>IF(COUNTIF('03 - HEALTH REVIEW'!$B$9:$B$15,A18)&lt;&gt;1,"",IF(INDEX('03 - HEALTH REVIEW'!$G$9:$G$15,MATCH(A18,'03 - HEALTH REVIEW'!$B$9:$B$15,0))="","",INDEX('03 - HEALTH REVIEW'!$G$9:$G$15,MATCH(A18,'03 - HEALTH REVIEW'!$B$9:$B$15,0))))</f>
        <v>Rehearse operator access</v>
      </c>
      <c r="F18" s="10" t="str">
        <f>IF(COUNTIF('03 - HEALTH REVIEW'!$B$9:$B$15,A18)&lt;&gt;1,"",IF(INDEX('03 - HEALTH REVIEW'!$H$9:$H$15,MATCH(A18,'03 - HEALTH REVIEW'!$B$9:$B$15,0))="","",INDEX('03 - HEALTH REVIEW'!$H$9:$H$15,MATCH(A18,'03 - HEALTH REVIEW'!$B$9:$B$15,0))))</f>
        <v>Service owner</v>
      </c>
      <c r="G18" s="12">
        <f>IF(COUNTIF('03 - HEALTH REVIEW'!$B$9:$B$15,A18)&lt;&gt;1,"",IF(INDEX('03 - HEALTH REVIEW'!$I$9:$I$15,MATCH(A18,'03 - HEALTH REVIEW'!$B$9:$B$15,0))="","",INDEX('03 - HEALTH REVIEW'!$I$9:$I$15,MATCH(A18,'03 - HEALTH REVIEW'!$B$9:$B$15,0))))</f>
        <v>46293</v>
      </c>
      <c r="H18" s="1"/>
    </row>
    <row r="19" spans="1:27" ht="48" customHeight="1">
      <c r="A19" s="10" t="s">
        <v>20</v>
      </c>
      <c r="B19" s="10" t="str">
        <f>IF(COUNTIFS('14 - REVIEW HISTORY'!$A$9:$A$108,PreviousReview,'14 - REVIEW HISTORY'!$B$9:$B$108,A19)=0,"No prior snapshot",IF(COUNTIFS('14 - REVIEW HISTORY'!$A$9:$A$108,PreviousReview,'14 - REVIEW HISTORY'!$B$9:$B$108,A19)&gt;1,"Duplicate snapshot",LOOKUP(2,1/(('14 - REVIEW HISTORY'!$A$9:$A$108=PreviousReview)*('14 - REVIEW HISTORY'!$B$9:$B$108=A19)),'14 - REVIEW HISTORY'!$D$9:$D$108)))</f>
        <v>Stable</v>
      </c>
      <c r="C19" s="10" t="str">
        <f>IF(COUNTIF('03 - HEALTH REVIEW'!$B$9:$B$15,A19)&lt;&gt;1,"Check control key",IF(INDEX('03 - HEALTH REVIEW'!$D$9:$D$15,MATCH(A19,'03 - HEALTH REVIEW'!$B$9:$B$15,0))="","No assessment",INDEX('03 - HEALTH REVIEW'!$D$9:$D$15,MATCH(A19,'03 - HEALTH REVIEW'!$B$9:$B$15,0))))</f>
        <v>Unclear</v>
      </c>
      <c r="D19" s="10" t="str">
        <f t="shared" si="0"/>
        <v>Changed</v>
      </c>
      <c r="E19" s="10" t="str">
        <f>IF(COUNTIF('03 - HEALTH REVIEW'!$B$9:$B$15,A19)&lt;&gt;1,"",IF(INDEX('03 - HEALTH REVIEW'!$G$9:$G$15,MATCH(A19,'03 - HEALTH REVIEW'!$B$9:$B$15,0))="","",INDEX('03 - HEALTH REVIEW'!$G$9:$G$15,MATCH(A19,'03 - HEALTH REVIEW'!$B$9:$B$15,0))))</f>
        <v>Establish cohort</v>
      </c>
      <c r="F19" s="10" t="str">
        <f>IF(COUNTIF('03 - HEALTH REVIEW'!$B$9:$B$15,A19)&lt;&gt;1,"",IF(INDEX('03 - HEALTH REVIEW'!$H$9:$H$15,MATCH(A19,'03 - HEALTH REVIEW'!$B$9:$B$15,0))="","",INDEX('03 - HEALTH REVIEW'!$H$9:$H$15,MATCH(A19,'03 - HEALTH REVIEW'!$B$9:$B$15,0))))</f>
        <v>Business owner</v>
      </c>
      <c r="G19" s="12">
        <f>IF(COUNTIF('03 - HEALTH REVIEW'!$B$9:$B$15,A19)&lt;&gt;1,"",IF(INDEX('03 - HEALTH REVIEW'!$I$9:$I$15,MATCH(A19,'03 - HEALTH REVIEW'!$B$9:$B$15,0))="","",INDEX('03 - HEALTH REVIEW'!$I$9:$I$15,MATCH(A19,'03 - HEALTH REVIEW'!$B$9:$B$15,0))))</f>
        <v>46295</v>
      </c>
      <c r="H19" s="1"/>
    </row>
    <row r="20" spans="1:27" ht="24" customHeight="1">
      <c r="A20" s="1"/>
      <c r="B20" s="1"/>
      <c r="C20" s="1"/>
      <c r="D20" s="1"/>
      <c r="E20" s="1"/>
      <c r="F20" s="1"/>
      <c r="G20" s="1"/>
      <c r="H20" s="1"/>
    </row>
    <row r="21" spans="1:27" ht="24" customHeight="1">
      <c r="A21" s="1"/>
      <c r="B21" s="1"/>
      <c r="C21" s="1"/>
      <c r="D21" s="1"/>
      <c r="E21" s="1"/>
      <c r="F21" s="1"/>
      <c r="G21" s="1"/>
      <c r="H21" s="1"/>
    </row>
    <row r="22" spans="1:27" ht="33.950000000000003" customHeight="1">
      <c r="A22" s="21" t="s">
        <v>500</v>
      </c>
      <c r="B22" s="21"/>
      <c r="C22" s="21"/>
      <c r="D22" s="21"/>
      <c r="E22" s="21"/>
      <c r="F22" s="21"/>
      <c r="G22" s="21"/>
      <c r="H22" s="21"/>
      <c r="I22" s="23"/>
      <c r="J22" s="23"/>
    </row>
    <row r="23" spans="1:27" ht="33.950000000000003" customHeight="1">
      <c r="A23" s="5" t="s">
        <v>113</v>
      </c>
      <c r="B23" s="5" t="s">
        <v>114</v>
      </c>
      <c r="C23" s="5" t="s">
        <v>127</v>
      </c>
      <c r="D23" s="5" t="s">
        <v>501</v>
      </c>
      <c r="E23" s="5" t="s">
        <v>108</v>
      </c>
      <c r="F23" s="5" t="s">
        <v>109</v>
      </c>
      <c r="G23" s="1"/>
      <c r="H23" s="1"/>
    </row>
    <row r="24" spans="1:27" ht="105.6" customHeight="1">
      <c r="A24" s="10" t="str">
        <f>IF($AA24=0,"",INDEX('13 - DATA &amp; LISTS'!$AA$30:$AA$436,$AA24))</f>
        <v>D-014</v>
      </c>
      <c r="B24" s="10" t="str">
        <f>IF($AA24=0,"",INDEX('13 - DATA &amp; LISTS'!$AB$30:$AB$436,$AA24))</f>
        <v>Full release or smaller migration wave</v>
      </c>
      <c r="C24" s="10" t="str">
        <f>IF($AA24=0,"",INDEX('13 - DATA &amp; LISTS'!$AC$30:$AC$436,$AA24))</f>
        <v xml:space="preserve">THRESHOLD EXCEEDED ESCALATION REQUIRED APPROACHING DEADLINE LINKED DEPENDENCY UNRESOLVED </v>
      </c>
      <c r="D24" s="10" t="str">
        <f>IF($AA24=0,"",INDEX('13 - DATA &amp; LISTS'!$AD$30:$AD$436,$AA24))</f>
        <v>Escalate to named authority. Preserve original actionable date.</v>
      </c>
      <c r="E24" s="10" t="str">
        <f>IF($AA24=0,"",INDEX('13 - DATA &amp; LISTS'!$AE$30:$AE$436,$AA24))</f>
        <v>Sponsor</v>
      </c>
      <c r="F24" s="12">
        <f>IF($AA24=0,"",INDEX('13 - DATA &amp; LISTS'!$AF$30:$AF$436,$AA24))</f>
        <v>46290</v>
      </c>
      <c r="G24" s="1"/>
      <c r="H24" s="1"/>
      <c r="AA24">
        <f>IF(COUNTIF('13 - DATA &amp; LISTS'!$AP$30:$AP$436,"&lt;999999999999")&lt;1,0,MATCH(SMALL('13 - DATA &amp; LISTS'!$AP$30:$AP$436,1),'13 - DATA &amp; LISTS'!$AP$30:$AP$436,0))</f>
        <v>8</v>
      </c>
    </row>
    <row r="25" spans="1:27" ht="63.95" customHeight="1">
      <c r="A25" s="10" t="str">
        <f>IF($AA25=0,"",INDEX('13 - DATA &amp; LISTS'!$AA$30:$AA$436,$AA25))</f>
        <v/>
      </c>
      <c r="B25" s="10" t="str">
        <f>IF($AA25=0,"",INDEX('13 - DATA &amp; LISTS'!$AB$30:$AB$436,$AA25))</f>
        <v/>
      </c>
      <c r="C25" s="10" t="str">
        <f>IF($AA25=0,"",INDEX('13 - DATA &amp; LISTS'!$AC$30:$AC$436,$AA25))</f>
        <v/>
      </c>
      <c r="D25" s="10" t="str">
        <f>IF($AA25=0,"",INDEX('13 - DATA &amp; LISTS'!$AD$30:$AD$436,$AA25))</f>
        <v/>
      </c>
      <c r="E25" s="10" t="str">
        <f>IF($AA25=0,"",INDEX('13 - DATA &amp; LISTS'!$AE$30:$AE$436,$AA25))</f>
        <v/>
      </c>
      <c r="F25" s="12" t="str">
        <f>IF($AA25=0,"",INDEX('13 - DATA &amp; LISTS'!$AF$30:$AF$436,$AA25))</f>
        <v/>
      </c>
      <c r="G25" s="1"/>
      <c r="H25" s="1"/>
      <c r="AA25">
        <f>IF(COUNTIF('13 - DATA &amp; LISTS'!$AP$30:$AP$436,"&lt;999999999999")&lt;2,0,MATCH(SMALL('13 - DATA &amp; LISTS'!$AP$30:$AP$436,2),'13 - DATA &amp; LISTS'!$AP$30:$AP$436,0))</f>
        <v>0</v>
      </c>
    </row>
    <row r="26" spans="1:27" ht="63.95" customHeight="1">
      <c r="A26" s="10" t="str">
        <f>IF($AA26=0,"",INDEX('13 - DATA &amp; LISTS'!$AA$30:$AA$436,$AA26))</f>
        <v/>
      </c>
      <c r="B26" s="10" t="str">
        <f>IF($AA26=0,"",INDEX('13 - DATA &amp; LISTS'!$AB$30:$AB$436,$AA26))</f>
        <v/>
      </c>
      <c r="C26" s="10" t="str">
        <f>IF($AA26=0,"",INDEX('13 - DATA &amp; LISTS'!$AC$30:$AC$436,$AA26))</f>
        <v/>
      </c>
      <c r="D26" s="10" t="str">
        <f>IF($AA26=0,"",INDEX('13 - DATA &amp; LISTS'!$AD$30:$AD$436,$AA26))</f>
        <v/>
      </c>
      <c r="E26" s="10" t="str">
        <f>IF($AA26=0,"",INDEX('13 - DATA &amp; LISTS'!$AE$30:$AE$436,$AA26))</f>
        <v/>
      </c>
      <c r="F26" s="12" t="str">
        <f>IF($AA26=0,"",INDEX('13 - DATA &amp; LISTS'!$AF$30:$AF$436,$AA26))</f>
        <v/>
      </c>
      <c r="G26" s="1"/>
      <c r="H26" s="1"/>
      <c r="AA26">
        <f>IF(COUNTIF('13 - DATA &amp; LISTS'!$AP$30:$AP$436,"&lt;999999999999")&lt;3,0,MATCH(SMALL('13 - DATA &amp; LISTS'!$AP$30:$AP$436,3),'13 - DATA &amp; LISTS'!$AP$30:$AP$436,0))</f>
        <v>0</v>
      </c>
    </row>
    <row r="27" spans="1:27" ht="24" customHeight="1">
      <c r="A27" s="1"/>
      <c r="B27" s="1"/>
      <c r="C27" s="1"/>
      <c r="D27" s="1"/>
      <c r="E27" s="1"/>
      <c r="F27" s="1"/>
      <c r="G27" s="1"/>
      <c r="H27" s="1"/>
    </row>
    <row r="28" spans="1:27" ht="33.950000000000003" customHeight="1">
      <c r="A28" s="21" t="s">
        <v>502</v>
      </c>
      <c r="B28" s="21"/>
      <c r="C28" s="21"/>
      <c r="D28" s="21"/>
      <c r="E28" s="21"/>
      <c r="F28" s="21"/>
      <c r="G28" s="21"/>
      <c r="H28" s="21"/>
      <c r="I28" s="23"/>
      <c r="J28" s="23"/>
    </row>
    <row r="29" spans="1:27" ht="33.950000000000003" customHeight="1">
      <c r="A29" s="5" t="s">
        <v>113</v>
      </c>
      <c r="B29" s="5" t="s">
        <v>114</v>
      </c>
      <c r="C29" s="5" t="s">
        <v>127</v>
      </c>
      <c r="D29" s="5" t="s">
        <v>501</v>
      </c>
      <c r="E29" s="5" t="s">
        <v>108</v>
      </c>
      <c r="F29" s="5" t="s">
        <v>109</v>
      </c>
      <c r="G29" s="1"/>
      <c r="H29" s="1"/>
    </row>
    <row r="30" spans="1:27" ht="92.45" customHeight="1">
      <c r="A30" s="10" t="str">
        <f>IF($AA30=0,"",INDEX('13 - DATA &amp; LISTS'!$AA$30:$AA$436,$AA30))</f>
        <v>DEP-07</v>
      </c>
      <c r="B30" s="10" t="str">
        <f>IF($AA30=0,"",INDEX('13 - DATA &amp; LISTS'!$AB$30:$AB$436,$AA30))</f>
        <v>Cloud pilot network connectivity</v>
      </c>
      <c r="C30" s="10" t="str">
        <f>IF($AA30=0,"",INDEX('13 - DATA &amp; LISTS'!$AC$30:$AC$436,$AA30))</f>
        <v xml:space="preserve">REPEATED MISSED COMMITMENT LOW-CONFIDENCE FORECAST CONSUMER ACCEPTANCE MISSING </v>
      </c>
      <c r="D30" s="10" t="str">
        <f>IF($AA30=0,"",INDEX('13 - DATA &amp; LISTS'!$AD$30:$AD$436,$AA30))</f>
        <v>Review eliminate / decouple options before accepting another forecast.</v>
      </c>
      <c r="E30" s="10" t="str">
        <f>IF($AA30=0,"",INDEX('13 - DATA &amp; LISTS'!$AE$30:$AE$436,$AA30))</f>
        <v>Network owner</v>
      </c>
      <c r="F30" s="12">
        <f>IF($AA30=0,"",INDEX('13 - DATA &amp; LISTS'!$AF$30:$AF$436,$AA30))</f>
        <v>46290</v>
      </c>
      <c r="G30" s="1"/>
      <c r="H30" s="1"/>
      <c r="AA30">
        <f>IF(COUNTIF('13 - DATA &amp; LISTS'!$AQ$30:$AQ$436,"&lt;999999999999")&lt;1,0,MATCH(SMALL('13 - DATA &amp; LISTS'!$AQ$30:$AQ$436,1),'13 - DATA &amp; LISTS'!$AQ$30:$AQ$436,0))</f>
        <v>58</v>
      </c>
    </row>
    <row r="31" spans="1:27" ht="63.95" customHeight="1">
      <c r="A31" s="10" t="str">
        <f>IF($AA31=0,"",INDEX('13 - DATA &amp; LISTS'!$AA$30:$AA$436,$AA31))</f>
        <v/>
      </c>
      <c r="B31" s="10" t="str">
        <f>IF($AA31=0,"",INDEX('13 - DATA &amp; LISTS'!$AB$30:$AB$436,$AA31))</f>
        <v/>
      </c>
      <c r="C31" s="10" t="str">
        <f>IF($AA31=0,"",INDEX('13 - DATA &amp; LISTS'!$AC$30:$AC$436,$AA31))</f>
        <v/>
      </c>
      <c r="D31" s="10" t="str">
        <f>IF($AA31=0,"",INDEX('13 - DATA &amp; LISTS'!$AD$30:$AD$436,$AA31))</f>
        <v/>
      </c>
      <c r="E31" s="10" t="str">
        <f>IF($AA31=0,"",INDEX('13 - DATA &amp; LISTS'!$AE$30:$AE$436,$AA31))</f>
        <v/>
      </c>
      <c r="F31" s="12" t="str">
        <f>IF($AA31=0,"",INDEX('13 - DATA &amp; LISTS'!$AF$30:$AF$436,$AA31))</f>
        <v/>
      </c>
      <c r="G31" s="1"/>
      <c r="H31" s="1"/>
      <c r="AA31">
        <f>IF(COUNTIF('13 - DATA &amp; LISTS'!$AQ$30:$AQ$436,"&lt;999999999999")&lt;2,0,MATCH(SMALL('13 - DATA &amp; LISTS'!$AQ$30:$AQ$436,2),'13 - DATA &amp; LISTS'!$AQ$30:$AQ$436,0))</f>
        <v>0</v>
      </c>
    </row>
    <row r="32" spans="1:27" ht="63.95" customHeight="1">
      <c r="A32" s="10" t="str">
        <f>IF($AA32=0,"",INDEX('13 - DATA &amp; LISTS'!$AA$30:$AA$436,$AA32))</f>
        <v/>
      </c>
      <c r="B32" s="10" t="str">
        <f>IF($AA32=0,"",INDEX('13 - DATA &amp; LISTS'!$AB$30:$AB$436,$AA32))</f>
        <v/>
      </c>
      <c r="C32" s="10" t="str">
        <f>IF($AA32=0,"",INDEX('13 - DATA &amp; LISTS'!$AC$30:$AC$436,$AA32))</f>
        <v/>
      </c>
      <c r="D32" s="10" t="str">
        <f>IF($AA32=0,"",INDEX('13 - DATA &amp; LISTS'!$AD$30:$AD$436,$AA32))</f>
        <v/>
      </c>
      <c r="E32" s="10" t="str">
        <f>IF($AA32=0,"",INDEX('13 - DATA &amp; LISTS'!$AE$30:$AE$436,$AA32))</f>
        <v/>
      </c>
      <c r="F32" s="12" t="str">
        <f>IF($AA32=0,"",INDEX('13 - DATA &amp; LISTS'!$AF$30:$AF$436,$AA32))</f>
        <v/>
      </c>
      <c r="G32" s="1"/>
      <c r="H32" s="1"/>
      <c r="AA32">
        <f>IF(COUNTIF('13 - DATA &amp; LISTS'!$AQ$30:$AQ$436,"&lt;999999999999")&lt;3,0,MATCH(SMALL('13 - DATA &amp; LISTS'!$AQ$30:$AQ$436,3),'13 - DATA &amp; LISTS'!$AQ$30:$AQ$436,0))</f>
        <v>0</v>
      </c>
    </row>
    <row r="33" spans="1:27" ht="24" customHeight="1">
      <c r="A33" s="1"/>
      <c r="B33" s="1"/>
      <c r="C33" s="1"/>
      <c r="D33" s="1"/>
      <c r="E33" s="1"/>
      <c r="F33" s="1"/>
      <c r="G33" s="1"/>
      <c r="H33" s="1"/>
    </row>
    <row r="34" spans="1:27" ht="33.950000000000003" customHeight="1">
      <c r="A34" s="21" t="s">
        <v>503</v>
      </c>
      <c r="B34" s="21"/>
      <c r="C34" s="21"/>
      <c r="D34" s="21"/>
      <c r="E34" s="21"/>
      <c r="F34" s="21"/>
      <c r="G34" s="21"/>
      <c r="H34" s="21"/>
      <c r="I34" s="23"/>
      <c r="J34" s="23"/>
    </row>
    <row r="35" spans="1:27" ht="33.950000000000003" customHeight="1">
      <c r="A35" s="5" t="s">
        <v>113</v>
      </c>
      <c r="B35" s="5" t="s">
        <v>114</v>
      </c>
      <c r="C35" s="5" t="s">
        <v>127</v>
      </c>
      <c r="D35" s="5" t="s">
        <v>501</v>
      </c>
      <c r="E35" s="5" t="s">
        <v>108</v>
      </c>
      <c r="F35" s="5" t="s">
        <v>109</v>
      </c>
      <c r="G35" s="1"/>
      <c r="H35" s="1"/>
    </row>
    <row r="36" spans="1:27" ht="39.6" customHeight="1">
      <c r="A36" s="10" t="str">
        <f>IF($AA36=0,"",INDEX('13 - DATA &amp; LISTS'!$AA$30:$AA$436,$AA36))</f>
        <v>H-05</v>
      </c>
      <c r="B36" s="10" t="str">
        <f>IF($AA36=0,"",INDEX('13 - DATA &amp; LISTS'!$AB$30:$AB$436,$AA36))</f>
        <v>Production-scale recovery not demonstrated</v>
      </c>
      <c r="C36" s="10" t="str">
        <f>IF($AA36=0,"",INDEX('13 - DATA &amp; LISTS'!$AC$30:$AC$436,$AA36))</f>
        <v xml:space="preserve">EVIDENCE GAP BEFORE COMMITMENT </v>
      </c>
      <c r="D36" s="10" t="str">
        <f>IF($AA36=0,"",INDEX('13 - DATA &amp; LISTS'!$AD$30:$AD$436,$AA36))</f>
        <v>Commission representative rehearsal</v>
      </c>
      <c r="E36" s="10" t="str">
        <f>IF($AA36=0,"",INDEX('13 - DATA &amp; LISTS'!$AE$30:$AE$436,$AA36))</f>
        <v>Assurance lead</v>
      </c>
      <c r="F36" s="12">
        <f>IF($AA36=0,"",INDEX('13 - DATA &amp; LISTS'!$AF$30:$AF$436,$AA36))</f>
        <v>46294</v>
      </c>
      <c r="G36" s="1"/>
      <c r="H36" s="1"/>
      <c r="AA36">
        <f>IF(COUNTIF('13 - DATA &amp; LISTS'!$AM$30:$AM$436,"&lt;999999999999")&lt;1,0,MATCH(SMALL('13 - DATA &amp; LISTS'!$AM$30:$AM$436,1),'13 - DATA &amp; LISTS'!$AM$30:$AM$436,0))</f>
        <v>5</v>
      </c>
    </row>
    <row r="37" spans="1:27" ht="39.6" customHeight="1">
      <c r="A37" s="10" t="str">
        <f>IF($AA37=0,"",INDEX('13 - DATA &amp; LISTS'!$AA$30:$AA$436,$AA37))</f>
        <v>CAP-01</v>
      </c>
      <c r="B37" s="10" t="str">
        <f>IF($AA37=0,"",INDEX('13 - DATA &amp; LISTS'!$AB$30:$AB$436,$AA37))</f>
        <v>Atlas pilot recovery / release candidate 3</v>
      </c>
      <c r="C37" s="10" t="str">
        <f>IF($AA37=0,"",INDEX('13 - DATA &amp; LISTS'!$AC$30:$AC$436,$AA37))</f>
        <v xml:space="preserve">REPRESENTATIVE CAPABILITY NOT VERIFIED </v>
      </c>
      <c r="D37" s="10" t="str">
        <f>IF($AA37=0,"",INDEX('13 - DATA &amp; LISTS'!$AD$30:$AD$436,$AA37))</f>
        <v>Commission targeted evidence before the commitment date.</v>
      </c>
      <c r="E37" s="10" t="str">
        <f>IF($AA37=0,"",INDEX('13 - DATA &amp; LISTS'!$AE$30:$AE$436,$AA37))</f>
        <v>Assurance lead</v>
      </c>
      <c r="F37" s="12">
        <f>IF($AA37=0,"",INDEX('13 - DATA &amp; LISTS'!$AF$30:$AF$436,$AA37))</f>
        <v>46294</v>
      </c>
      <c r="G37" s="1"/>
      <c r="H37" s="1"/>
      <c r="AA37">
        <f>IF(COUNTIF('13 - DATA &amp; LISTS'!$AM$30:$AM$436,"&lt;999999999999")&lt;2,0,MATCH(SMALL('13 - DATA &amp; LISTS'!$AM$30:$AM$436,2),'13 - DATA &amp; LISTS'!$AM$30:$AM$436,0))</f>
        <v>158</v>
      </c>
    </row>
    <row r="38" spans="1:27" ht="66" customHeight="1">
      <c r="A38" s="10" t="str">
        <f>IF($AA38=0,"",INDEX('13 - DATA &amp; LISTS'!$AA$30:$AA$436,$AA38))</f>
        <v>B-01</v>
      </c>
      <c r="B38" s="10" t="str">
        <f>IF($AA38=0,"",INDEX('13 - DATA &amp; LISTS'!$AB$30:$AB$436,$AA38))</f>
        <v>Reduce manual recovery coordination</v>
      </c>
      <c r="C38" s="10" t="str">
        <f>IF($AA38=0,"",INDEX('13 - DATA &amp; LISTS'!$AC$30:$AC$436,$AA38))</f>
        <v xml:space="preserve">DENOMINATOR MISSING OR ZERO NO BASELINE HANDOVER NOT RECORDED </v>
      </c>
      <c r="D38" s="10" t="str">
        <f>IF($AA38=0,"",INDEX('13 - DATA &amp; LISTS'!$AD$30:$AD$436,$AA38))</f>
        <v>Define eligible cohort before reporting adoption percentage.</v>
      </c>
      <c r="E38" s="10" t="str">
        <f>IF($AA38=0,"",INDEX('13 - DATA &amp; LISTS'!$AE$30:$AE$436,$AA38))</f>
        <v>Service owner</v>
      </c>
      <c r="F38" s="12">
        <f>IF($AA38=0,"",INDEX('13 - DATA &amp; LISTS'!$AF$30:$AF$436,$AA38))</f>
        <v>46294</v>
      </c>
      <c r="G38" s="1"/>
      <c r="H38" s="1"/>
      <c r="AA38">
        <f>IF(COUNTIF('13 - DATA &amp; LISTS'!$AM$30:$AM$436,"&lt;999999999999")&lt;3,0,MATCH(SMALL('13 - DATA &amp; LISTS'!$AM$30:$AM$436,3),'13 - DATA &amp; LISTS'!$AM$30:$AM$436,0))</f>
        <v>258</v>
      </c>
    </row>
    <row r="39" spans="1:27" ht="24" customHeight="1">
      <c r="A39" s="1"/>
      <c r="B39" s="1"/>
      <c r="C39" s="1"/>
      <c r="D39" s="1"/>
      <c r="E39" s="1"/>
      <c r="F39" s="1"/>
      <c r="G39" s="1"/>
      <c r="H39" s="1"/>
    </row>
    <row r="40" spans="1:27" ht="33.950000000000003" customHeight="1">
      <c r="A40" s="21" t="s">
        <v>504</v>
      </c>
      <c r="B40" s="21"/>
      <c r="C40" s="21"/>
      <c r="D40" s="21"/>
      <c r="E40" s="21"/>
      <c r="F40" s="21"/>
      <c r="G40" s="21"/>
      <c r="H40" s="21"/>
      <c r="I40" s="23"/>
      <c r="J40" s="23"/>
    </row>
    <row r="41" spans="1:27" ht="33.950000000000003" customHeight="1">
      <c r="A41" s="5" t="s">
        <v>113</v>
      </c>
      <c r="B41" s="5" t="s">
        <v>114</v>
      </c>
      <c r="C41" s="5" t="s">
        <v>127</v>
      </c>
      <c r="D41" s="5" t="s">
        <v>501</v>
      </c>
      <c r="E41" s="5" t="s">
        <v>108</v>
      </c>
      <c r="F41" s="5" t="s">
        <v>109</v>
      </c>
      <c r="G41" s="1"/>
      <c r="H41" s="1"/>
    </row>
    <row r="42" spans="1:27" ht="52.7" customHeight="1">
      <c r="A42" s="10" t="str">
        <f>IF($AA42=0,"",INDEX('13 - DATA &amp; LISTS'!$AA$30:$AA$436,$AA42))</f>
        <v>R-04</v>
      </c>
      <c r="B42" s="10" t="str">
        <f>IF($AA42=0,"",INDEX('13 - DATA &amp; LISTS'!$AB$30:$AB$436,$AA42))</f>
        <v>Access and on-call readiness</v>
      </c>
      <c r="C42" s="10" t="str">
        <f>IF($AA42=0,"",INDEX('13 - DATA &amp; LISTS'!$AC$30:$AC$436,$AA42))</f>
        <v xml:space="preserve">RELEASE BLOCKER LINKED DEPENDENCY UNRESOLVED </v>
      </c>
      <c r="D42" s="10" t="str">
        <f>IF($AA42=0,"",INDEX('13 - DATA &amp; LISTS'!$AD$30:$AD$436,$AA42))</f>
        <v>Hold release or obtain explicit authorised risk acceptance.</v>
      </c>
      <c r="E42" s="10" t="str">
        <f>IF($AA42=0,"",INDEX('13 - DATA &amp; LISTS'!$AE$30:$AE$436,$AA42))</f>
        <v>Access owner</v>
      </c>
      <c r="F42" s="12">
        <f>IF($AA42=0,"",INDEX('13 - DATA &amp; LISTS'!$AF$30:$AF$436,$AA42))</f>
        <v>46293</v>
      </c>
      <c r="G42" s="1"/>
      <c r="H42" s="1"/>
      <c r="AA42">
        <f>IF(COUNTIF('13 - DATA &amp; LISTS'!$AN$30:$AN$436,"&lt;999999999999")&lt;1,0,MATCH(SMALL('13 - DATA &amp; LISTS'!$AN$30:$AN$436,1),'13 - DATA &amp; LISTS'!$AN$30:$AN$436,0))</f>
        <v>211</v>
      </c>
    </row>
    <row r="43" spans="1:27" ht="66" customHeight="1">
      <c r="A43" s="10" t="str">
        <f>IF($AA43=0,"",INDEX('13 - DATA &amp; LISTS'!$AA$30:$AA$436,$AA43))</f>
        <v>R-05</v>
      </c>
      <c r="B43" s="10" t="str">
        <f>IF($AA43=0,"",INDEX('13 - DATA &amp; LISTS'!$AB$30:$AB$436,$AA43))</f>
        <v>Recovery and data integrity</v>
      </c>
      <c r="C43" s="10" t="str">
        <f>IF($AA43=0,"",INDEX('13 - DATA &amp; LISTS'!$AC$30:$AC$436,$AA43))</f>
        <v xml:space="preserve">RELEASE BLOCKER READINESS UNKNOWN LINKED DEPENDENCY UNRESOLVED </v>
      </c>
      <c r="D43" s="10" t="str">
        <f>IF($AA43=0,"",INDEX('13 - DATA &amp; LISTS'!$AD$30:$AD$436,$AA43))</f>
        <v>Hold release or obtain explicit authorised risk acceptance.</v>
      </c>
      <c r="E43" s="10" t="str">
        <f>IF($AA43=0,"",INDEX('13 - DATA &amp; LISTS'!$AE$30:$AE$436,$AA43))</f>
        <v>Assurance lead</v>
      </c>
      <c r="F43" s="12">
        <f>IF($AA43=0,"",INDEX('13 - DATA &amp; LISTS'!$AF$30:$AF$436,$AA43))</f>
        <v>46294</v>
      </c>
      <c r="G43" s="1"/>
      <c r="H43" s="1"/>
      <c r="AA43">
        <f>IF(COUNTIF('13 - DATA &amp; LISTS'!$AN$30:$AN$436,"&lt;999999999999")&lt;2,0,MATCH(SMALL('13 - DATA &amp; LISTS'!$AN$30:$AN$436,2),'13 - DATA &amp; LISTS'!$AN$30:$AN$436,0))</f>
        <v>212</v>
      </c>
    </row>
    <row r="44" spans="1:27" ht="39.6" customHeight="1">
      <c r="A44" s="10" t="str">
        <f>IF($AA44=0,"",INDEX('13 - DATA &amp; LISTS'!$AA$30:$AA$436,$AA44))</f>
        <v>R-11</v>
      </c>
      <c r="B44" s="10" t="str">
        <f>IF($AA44=0,"",INDEX('13 - DATA &amp; LISTS'!$AB$30:$AB$436,$AA44))</f>
        <v>Cutover</v>
      </c>
      <c r="C44" s="10" t="str">
        <f>IF($AA44=0,"",INDEX('13 - DATA &amp; LISTS'!$AC$30:$AC$436,$AA44))</f>
        <v xml:space="preserve">RELEASE BLOCKER READINESS UNKNOWN </v>
      </c>
      <c r="D44" s="10" t="str">
        <f>IF($AA44=0,"",INDEX('13 - DATA &amp; LISTS'!$AD$30:$AD$436,$AA44))</f>
        <v>Hold release or obtain explicit authorised risk acceptance.</v>
      </c>
      <c r="E44" s="10" t="str">
        <f>IF($AA44=0,"",INDEX('13 - DATA &amp; LISTS'!$AE$30:$AE$436,$AA44))</f>
        <v>Service owner</v>
      </c>
      <c r="F44" s="12">
        <f>IF($AA44=0,"",INDEX('13 - DATA &amp; LISTS'!$AF$30:$AF$436,$AA44))</f>
        <v>46294</v>
      </c>
      <c r="G44" s="1"/>
      <c r="H44" s="1"/>
      <c r="AA44">
        <f>IF(COUNTIF('13 - DATA &amp; LISTS'!$AN$30:$AN$436,"&lt;999999999999")&lt;3,0,MATCH(SMALL('13 - DATA &amp; LISTS'!$AN$30:$AN$436,3),'13 - DATA &amp; LISTS'!$AN$30:$AN$436,0))</f>
        <v>218</v>
      </c>
    </row>
    <row r="45" spans="1:27" ht="24" customHeight="1">
      <c r="A45" s="1"/>
      <c r="B45" s="1"/>
      <c r="C45" s="1"/>
      <c r="D45" s="1"/>
      <c r="E45" s="1"/>
      <c r="F45" s="1"/>
      <c r="G45" s="1"/>
      <c r="H45" s="1"/>
    </row>
    <row r="46" spans="1:27" ht="33.950000000000003" customHeight="1">
      <c r="A46" s="21" t="s">
        <v>505</v>
      </c>
      <c r="B46" s="21"/>
      <c r="C46" s="21"/>
      <c r="D46" s="21"/>
      <c r="E46" s="21"/>
      <c r="F46" s="21"/>
      <c r="G46" s="21"/>
      <c r="H46" s="21"/>
      <c r="I46" s="23"/>
      <c r="J46" s="23"/>
    </row>
    <row r="47" spans="1:27" ht="24" customHeight="1">
      <c r="A47" s="21" t="str">
        <f>IF('10 - RECOVERY'!A9="","No recovery intervention recorded",'10 - RECOVERY'!AC9&amp;". Evidence: "&amp;'10 - RECOVERY'!AD9)</f>
        <v>Extra build capacity did not reduce acceptance waiting. Evidence: Illustrative review observation, not recovery proof</v>
      </c>
      <c r="B47" s="21"/>
      <c r="C47" s="21"/>
      <c r="D47" s="21"/>
      <c r="E47" s="21"/>
      <c r="F47" s="21"/>
      <c r="G47" s="21"/>
      <c r="H47" s="21"/>
    </row>
    <row r="48" spans="1:27" ht="24" customHeight="1">
      <c r="A48" s="21"/>
      <c r="B48" s="21"/>
      <c r="C48" s="21"/>
      <c r="D48" s="21"/>
      <c r="E48" s="21"/>
      <c r="F48" s="21"/>
      <c r="G48" s="21"/>
      <c r="H48" s="21"/>
    </row>
    <row r="49" spans="1:10" ht="24" customHeight="1">
      <c r="A49" s="1"/>
      <c r="B49" s="1"/>
      <c r="C49" s="1"/>
      <c r="D49" s="1"/>
      <c r="E49" s="1"/>
      <c r="F49" s="1"/>
      <c r="G49" s="1"/>
      <c r="H49" s="1"/>
    </row>
    <row r="50" spans="1:10" ht="33.950000000000003" customHeight="1">
      <c r="A50" s="21" t="s">
        <v>506</v>
      </c>
      <c r="B50" s="21"/>
      <c r="C50" s="21"/>
      <c r="D50" s="21"/>
      <c r="E50" s="21"/>
      <c r="F50" s="21"/>
      <c r="G50" s="21"/>
      <c r="H50" s="21"/>
      <c r="I50" s="23"/>
      <c r="J50" s="23"/>
    </row>
    <row r="51" spans="1:10" ht="33.950000000000003" customHeight="1">
      <c r="A51" s="5" t="s">
        <v>117</v>
      </c>
      <c r="B51" s="5" t="s">
        <v>205</v>
      </c>
      <c r="C51" s="5" t="s">
        <v>206</v>
      </c>
      <c r="D51" s="5" t="s">
        <v>507</v>
      </c>
      <c r="E51" s="5" t="s">
        <v>508</v>
      </c>
      <c r="F51" s="5" t="s">
        <v>208</v>
      </c>
      <c r="G51" s="5" t="s">
        <v>509</v>
      </c>
      <c r="H51" s="5" t="s">
        <v>510</v>
      </c>
    </row>
    <row r="52" spans="1:10" ht="60" customHeight="1">
      <c r="A52" s="8"/>
      <c r="B52" s="8"/>
      <c r="C52" s="8"/>
      <c r="D52" s="8"/>
      <c r="E52" s="8"/>
      <c r="F52" s="8"/>
      <c r="G52" s="8"/>
      <c r="H52" s="9"/>
    </row>
    <row r="53" spans="1:10" ht="60" customHeight="1">
      <c r="A53" s="8"/>
      <c r="B53" s="8"/>
      <c r="C53" s="8"/>
      <c r="D53" s="8"/>
      <c r="E53" s="8"/>
      <c r="F53" s="8"/>
      <c r="G53" s="8"/>
      <c r="H53" s="9"/>
    </row>
    <row r="54" spans="1:10" ht="60" customHeight="1">
      <c r="A54" s="8"/>
      <c r="B54" s="8"/>
      <c r="C54" s="8"/>
      <c r="D54" s="8"/>
      <c r="E54" s="8"/>
      <c r="F54" s="8"/>
      <c r="G54" s="8"/>
      <c r="H54" s="9"/>
    </row>
    <row r="55" spans="1:10" ht="60" customHeight="1">
      <c r="A55" s="8"/>
      <c r="B55" s="8"/>
      <c r="C55" s="8"/>
      <c r="D55" s="8"/>
      <c r="E55" s="8"/>
      <c r="F55" s="8"/>
      <c r="G55" s="8"/>
      <c r="H55" s="9"/>
    </row>
    <row r="56" spans="1:10" ht="60" customHeight="1">
      <c r="A56" s="8"/>
      <c r="B56" s="8"/>
      <c r="C56" s="8"/>
      <c r="D56" s="8"/>
      <c r="E56" s="8"/>
      <c r="F56" s="8"/>
      <c r="G56" s="8"/>
      <c r="H56" s="9"/>
    </row>
    <row r="57" spans="1:10" ht="60" customHeight="1">
      <c r="A57" s="8"/>
      <c r="B57" s="8"/>
      <c r="C57" s="8"/>
      <c r="D57" s="8"/>
      <c r="E57" s="8"/>
      <c r="F57" s="8"/>
      <c r="G57" s="8"/>
      <c r="H57" s="9"/>
    </row>
    <row r="58" spans="1:10" ht="60" customHeight="1">
      <c r="A58" s="8"/>
      <c r="B58" s="8"/>
      <c r="C58" s="8"/>
      <c r="D58" s="8"/>
      <c r="E58" s="8"/>
      <c r="F58" s="8"/>
      <c r="G58" s="8"/>
      <c r="H58" s="9"/>
    </row>
    <row r="59" spans="1:10" ht="60" customHeight="1">
      <c r="A59" s="8"/>
      <c r="B59" s="8"/>
      <c r="C59" s="8"/>
      <c r="D59" s="8"/>
      <c r="E59" s="8"/>
      <c r="F59" s="8"/>
      <c r="G59" s="8"/>
      <c r="H59" s="9"/>
    </row>
    <row r="60" spans="1:10" ht="60" customHeight="1">
      <c r="A60" s="8"/>
      <c r="B60" s="8"/>
      <c r="C60" s="8"/>
      <c r="D60" s="8"/>
      <c r="E60" s="8"/>
      <c r="F60" s="8"/>
      <c r="G60" s="8"/>
      <c r="H60" s="9"/>
    </row>
    <row r="61" spans="1:10" ht="60" customHeight="1">
      <c r="A61" s="8"/>
      <c r="B61" s="8"/>
      <c r="C61" s="8"/>
      <c r="D61" s="8"/>
      <c r="E61" s="8"/>
      <c r="F61" s="8"/>
      <c r="G61" s="8"/>
      <c r="H61" s="9"/>
    </row>
    <row r="62" spans="1:10" ht="24" customHeight="1">
      <c r="A62" s="1"/>
      <c r="B62" s="1"/>
      <c r="C62" s="1"/>
      <c r="D62" s="1"/>
      <c r="E62" s="1"/>
      <c r="F62" s="1"/>
      <c r="G62" s="1"/>
      <c r="H62" s="1"/>
    </row>
    <row r="63" spans="1:10" ht="24" customHeight="1">
      <c r="A63" s="1"/>
      <c r="B63" s="1"/>
      <c r="C63" s="1"/>
      <c r="D63" s="1"/>
      <c r="E63" s="1"/>
      <c r="F63" s="1"/>
      <c r="G63" s="1"/>
      <c r="H63" s="1"/>
    </row>
    <row r="64" spans="1:10" ht="24" customHeight="1">
      <c r="A64" s="1"/>
      <c r="B64" s="1"/>
      <c r="C64" s="1"/>
      <c r="D64" s="1"/>
      <c r="E64" s="1"/>
      <c r="F64" s="1"/>
      <c r="G64" s="1"/>
      <c r="H64" s="1"/>
    </row>
    <row r="65" spans="1:8" ht="24" customHeight="1">
      <c r="A65" s="1"/>
      <c r="B65" s="1"/>
      <c r="C65" s="1"/>
      <c r="D65" s="1"/>
      <c r="E65" s="1"/>
      <c r="F65" s="1"/>
      <c r="G65" s="1"/>
      <c r="H65" s="1"/>
    </row>
    <row r="66" spans="1:8" ht="24" customHeight="1">
      <c r="A66" s="1"/>
      <c r="B66" s="1"/>
      <c r="C66" s="1"/>
      <c r="D66" s="1"/>
      <c r="E66" s="1"/>
      <c r="F66" s="1"/>
      <c r="G66" s="1"/>
      <c r="H66" s="1"/>
    </row>
    <row r="67" spans="1:8" ht="24" customHeight="1">
      <c r="A67" s="1"/>
      <c r="B67" s="1"/>
      <c r="C67" s="1"/>
      <c r="D67" s="1"/>
      <c r="E67" s="1"/>
      <c r="F67" s="1"/>
      <c r="G67" s="1"/>
      <c r="H67" s="1"/>
    </row>
    <row r="68" spans="1:8" ht="24" customHeight="1">
      <c r="A68" s="1"/>
      <c r="B68" s="1"/>
      <c r="C68" s="1"/>
      <c r="D68" s="1"/>
      <c r="E68" s="1"/>
      <c r="F68" s="1"/>
      <c r="G68" s="1"/>
      <c r="H68" s="1"/>
    </row>
    <row r="69" spans="1:8" ht="24" customHeight="1">
      <c r="A69" s="1"/>
      <c r="B69" s="1"/>
      <c r="C69" s="1"/>
      <c r="D69" s="1"/>
      <c r="E69" s="1"/>
      <c r="F69" s="1"/>
      <c r="G69" s="1"/>
      <c r="H69" s="1"/>
    </row>
    <row r="70" spans="1:8" ht="24" customHeight="1">
      <c r="A70" s="1"/>
      <c r="B70" s="1"/>
      <c r="C70" s="1"/>
      <c r="D70" s="1"/>
      <c r="E70" s="1"/>
      <c r="F70" s="1"/>
      <c r="G70" s="1"/>
      <c r="H70" s="1"/>
    </row>
    <row r="71" spans="1:8" ht="24" customHeight="1">
      <c r="A71" s="1"/>
      <c r="B71" s="1"/>
      <c r="C71" s="1"/>
      <c r="D71" s="1"/>
      <c r="E71" s="1"/>
      <c r="F71" s="1"/>
      <c r="G71" s="1"/>
      <c r="H71" s="1"/>
    </row>
    <row r="72" spans="1:8" ht="24" customHeight="1">
      <c r="A72" s="1"/>
      <c r="B72" s="1"/>
      <c r="C72" s="1"/>
      <c r="D72" s="1"/>
      <c r="E72" s="1"/>
      <c r="F72" s="1"/>
      <c r="G72" s="1"/>
      <c r="H72" s="1"/>
    </row>
    <row r="73" spans="1:8" ht="24" customHeight="1">
      <c r="A73" s="1"/>
      <c r="B73" s="1"/>
      <c r="C73" s="1"/>
      <c r="D73" s="1"/>
      <c r="E73" s="1"/>
      <c r="F73" s="1"/>
      <c r="G73" s="1"/>
      <c r="H73" s="1"/>
    </row>
    <row r="74" spans="1:8" ht="24" customHeight="1">
      <c r="A74" s="1"/>
      <c r="B74" s="1"/>
      <c r="C74" s="1"/>
      <c r="D74" s="1"/>
      <c r="E74" s="1"/>
      <c r="F74" s="1"/>
      <c r="G74" s="1"/>
      <c r="H74" s="1"/>
    </row>
    <row r="75" spans="1:8" ht="24" customHeight="1">
      <c r="A75" s="1"/>
      <c r="B75" s="1"/>
      <c r="C75" s="1"/>
      <c r="D75" s="1"/>
      <c r="E75" s="1"/>
      <c r="F75" s="1"/>
      <c r="G75" s="1"/>
      <c r="H75" s="1"/>
    </row>
  </sheetData>
  <mergeCells count="10">
    <mergeCell ref="A4:H4"/>
    <mergeCell ref="A8:J8"/>
    <mergeCell ref="A9:H10"/>
    <mergeCell ref="A22:J22"/>
    <mergeCell ref="A28:J28"/>
    <mergeCell ref="A34:J34"/>
    <mergeCell ref="A40:J40"/>
    <mergeCell ref="A46:J46"/>
    <mergeCell ref="A47:H48"/>
    <mergeCell ref="A50:J50"/>
  </mergeCells>
  <dataValidations count="1">
    <dataValidation type="list" sqref="A52:A61" xr:uid="{00000000-0002-0000-0B00-000000000000}">
      <formula1>DecisionIDs</formula1>
    </dataValidation>
  </dataValidations>
  <hyperlinks>
    <hyperlink ref="A6" location="'00 - START HERE'!A1" display="Start here" xr:uid="{00000000-0004-0000-0B00-000000000000}"/>
  </hyperlinks>
  <pageMargins left="0.25" right="0.25" top="0.4" bottom="0.4" header="0.2" footer="0.2"/>
  <pageSetup paperSize="8" scale="9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6343C"/>
  </sheetPr>
  <dimension ref="A1:AA415"/>
  <sheetViews>
    <sheetView showGridLines="0" zoomScale="85" workbookViewId="0">
      <pane xSplit="3" ySplit="8" topLeftCell="D9" activePane="bottomRight" state="frozen"/>
      <selection pane="topRight"/>
      <selection pane="bottomLeft"/>
      <selection pane="bottomRight" activeCell="A8" sqref="A8"/>
    </sheetView>
  </sheetViews>
  <sheetFormatPr defaultRowHeight="14.25"/>
  <cols>
    <col min="1" max="3" width="20" customWidth="1"/>
    <col min="4" max="6" width="37" customWidth="1"/>
    <col min="7" max="8" width="20" customWidth="1"/>
    <col min="9" max="10" width="35" customWidth="1"/>
    <col min="11" max="11" width="20" customWidth="1"/>
    <col min="27" max="27" width="0" hidden="1"/>
  </cols>
  <sheetData>
    <row r="1" spans="1:27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7" ht="32.1" customHeight="1">
      <c r="A2" s="2" t="s">
        <v>511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27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33.950000000000003" customHeight="1">
      <c r="A4" s="21" t="s">
        <v>512</v>
      </c>
      <c r="B4" s="21"/>
      <c r="C4" s="21"/>
      <c r="D4" s="21"/>
      <c r="E4" s="21"/>
      <c r="F4" s="21"/>
      <c r="G4" s="21"/>
      <c r="H4" s="21"/>
      <c r="I4" s="21"/>
      <c r="J4" s="21"/>
      <c r="K4" s="1"/>
    </row>
    <row r="5" spans="1:27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27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27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27" ht="33.950000000000003" customHeight="1">
      <c r="A8" s="5" t="s">
        <v>139</v>
      </c>
      <c r="B8" s="5" t="s">
        <v>513</v>
      </c>
      <c r="C8" s="5" t="s">
        <v>113</v>
      </c>
      <c r="D8" s="5" t="s">
        <v>114</v>
      </c>
      <c r="E8" s="5" t="s">
        <v>127</v>
      </c>
      <c r="F8" s="5" t="s">
        <v>514</v>
      </c>
      <c r="G8" s="5" t="s">
        <v>108</v>
      </c>
      <c r="H8" s="5" t="s">
        <v>109</v>
      </c>
      <c r="I8" s="5" t="s">
        <v>115</v>
      </c>
      <c r="J8" s="5" t="s">
        <v>121</v>
      </c>
      <c r="K8" s="5" t="s">
        <v>191</v>
      </c>
    </row>
    <row r="9" spans="1:27" ht="63.95" customHeight="1">
      <c r="A9" s="10" t="str">
        <f>IF($AA9=0,"",INDEX('13 - DATA &amp; LISTS'!$Y$30:$Y$436,$AA9))</f>
        <v>Critical</v>
      </c>
      <c r="B9" s="10" t="str">
        <f>IF($AA9=0,"",INDEX('13 - DATA &amp; LISTS'!$Z$30:$Z$436,$AA9))</f>
        <v>Dependencies</v>
      </c>
      <c r="C9" s="10" t="str">
        <f>IF($AA9=0,"",INDEX('13 - DATA &amp; LISTS'!$AA$30:$AA$436,$AA9))</f>
        <v>H-03</v>
      </c>
      <c r="D9" s="10" t="str">
        <f>IF($AA9=0,"",INDEX('13 - DATA &amp; LISTS'!$AB$30:$AB$436,$AA9))</f>
        <v>DEP-07 missed two commitments</v>
      </c>
      <c r="E9" s="10" t="str">
        <f>IF($AA9=0,"",INDEX('13 - DATA &amp; LISTS'!$AC$30:$AC$436,$AA9))</f>
        <v xml:space="preserve">INTERVENTION REQUIRED </v>
      </c>
      <c r="F9" s="10" t="str">
        <f>IF($AA9=0,"",INDEX('13 - DATA &amp; LISTS'!$AD$30:$AD$436,$AA9))</f>
        <v>Agree alternative sequence</v>
      </c>
      <c r="G9" s="10" t="str">
        <f>IF($AA9=0,"",INDEX('13 - DATA &amp; LISTS'!$AE$30:$AE$436,$AA9))</f>
        <v>Network owner</v>
      </c>
      <c r="H9" s="12">
        <f>IF($AA9=0,"",INDEX('13 - DATA &amp; LISTS'!$AF$30:$AF$436,$AA9))</f>
        <v>46290</v>
      </c>
      <c r="I9" s="10" t="str">
        <f>IF($AA9=0,"",INDEX('13 - DATA &amp; LISTS'!$AG$30:$AG$436,$AA9))</f>
        <v>Release or outcome claim remains constrained</v>
      </c>
      <c r="J9" s="10" t="str">
        <f>IF($AA9=0,"",INDEX('13 - DATA &amp; LISTS'!$AH$30:$AH$436,$AA9))</f>
        <v>DEP-07</v>
      </c>
      <c r="K9" s="10" t="str">
        <f>IF($AA9=0,"",INDEX('13 - DATA &amp; LISTS'!$AI$30:$AI$436,$AA9))</f>
        <v>Intervention required</v>
      </c>
      <c r="AA9">
        <f>IF(COUNTIF('13 - DATA &amp; LISTS'!$AK$30:$AK$436,"&lt;999999999999")&lt;1,0,MATCH(SMALL('13 - DATA &amp; LISTS'!$AK$30:$AK$436,1),'13 - DATA &amp; LISTS'!$AK$30:$AK$436,0))</f>
        <v>3</v>
      </c>
    </row>
    <row r="10" spans="1:27" ht="63.95" customHeight="1">
      <c r="A10" s="10" t="str">
        <f>IF($AA10=0,"",INDEX('13 - DATA &amp; LISTS'!$Y$30:$Y$436,$AA10))</f>
        <v>Critical</v>
      </c>
      <c r="B10" s="10" t="str">
        <f>IF($AA10=0,"",INDEX('13 - DATA &amp; LISTS'!$Z$30:$Z$436,$AA10))</f>
        <v>Decisions</v>
      </c>
      <c r="C10" s="10" t="str">
        <f>IF($AA10=0,"",INDEX('13 - DATA &amp; LISTS'!$AA$30:$AA$436,$AA10))</f>
        <v>H-04</v>
      </c>
      <c r="D10" s="10" t="str">
        <f>IF($AA10=0,"",INDEX('13 - DATA &amp; LISTS'!$AB$30:$AB$436,$AA10))</f>
        <v>D-014 actionable since 6 Sep</v>
      </c>
      <c r="E10" s="10" t="str">
        <f>IF($AA10=0,"",INDEX('13 - DATA &amp; LISTS'!$AC$30:$AC$436,$AA10))</f>
        <v xml:space="preserve">INTERVENTION REQUIRED </v>
      </c>
      <c r="F10" s="10" t="str">
        <f>IF($AA10=0,"",INDEX('13 - DATA &amp; LISTS'!$AD$30:$AD$436,$AA10))</f>
        <v>Select release option</v>
      </c>
      <c r="G10" s="10" t="str">
        <f>IF($AA10=0,"",INDEX('13 - DATA &amp; LISTS'!$AE$30:$AE$436,$AA10))</f>
        <v>Sponsor</v>
      </c>
      <c r="H10" s="12">
        <f>IF($AA10=0,"",INDEX('13 - DATA &amp; LISTS'!$AF$30:$AF$436,$AA10))</f>
        <v>46290</v>
      </c>
      <c r="I10" s="10" t="str">
        <f>IF($AA10=0,"",INDEX('13 - DATA &amp; LISTS'!$AG$30:$AG$436,$AA10))</f>
        <v>Release or outcome claim remains constrained</v>
      </c>
      <c r="J10" s="10" t="str">
        <f>IF($AA10=0,"",INDEX('13 - DATA &amp; LISTS'!$AH$30:$AH$436,$AA10))</f>
        <v>D-014</v>
      </c>
      <c r="K10" s="10" t="str">
        <f>IF($AA10=0,"",INDEX('13 - DATA &amp; LISTS'!$AI$30:$AI$436,$AA10))</f>
        <v>Intervention required</v>
      </c>
      <c r="AA10">
        <f>IF(COUNTIF('13 - DATA &amp; LISTS'!$AK$30:$AK$436,"&lt;999999999999")&lt;2,0,MATCH(SMALL('13 - DATA &amp; LISTS'!$AK$30:$AK$436,2),'13 - DATA &amp; LISTS'!$AK$30:$AK$436,0))</f>
        <v>4</v>
      </c>
    </row>
    <row r="11" spans="1:27" ht="63.95" customHeight="1">
      <c r="A11" s="10" t="str">
        <f>IF($AA11=0,"",INDEX('13 - DATA &amp; LISTS'!$Y$30:$Y$436,$AA11))</f>
        <v>Critical</v>
      </c>
      <c r="B11" s="10" t="str">
        <f>IF($AA11=0,"",INDEX('13 - DATA &amp; LISTS'!$Z$30:$Z$436,$AA11))</f>
        <v>Decisions</v>
      </c>
      <c r="C11" s="10" t="str">
        <f>IF($AA11=0,"",INDEX('13 - DATA &amp; LISTS'!$AA$30:$AA$436,$AA11))</f>
        <v>D-014</v>
      </c>
      <c r="D11" s="10" t="str">
        <f>IF($AA11=0,"",INDEX('13 - DATA &amp; LISTS'!$AB$30:$AB$436,$AA11))</f>
        <v>Full release or smaller migration wave</v>
      </c>
      <c r="E11" s="10" t="str">
        <f>IF($AA11=0,"",INDEX('13 - DATA &amp; LISTS'!$AC$30:$AC$436,$AA11))</f>
        <v xml:space="preserve">THRESHOLD EXCEEDED ESCALATION REQUIRED APPROACHING DEADLINE LINKED DEPENDENCY UNRESOLVED </v>
      </c>
      <c r="F11" s="10" t="str">
        <f>IF($AA11=0,"",INDEX('13 - DATA &amp; LISTS'!$AD$30:$AD$436,$AA11))</f>
        <v>Escalate to named authority. Preserve original actionable date.</v>
      </c>
      <c r="G11" s="10" t="str">
        <f>IF($AA11=0,"",INDEX('13 - DATA &amp; LISTS'!$AE$30:$AE$436,$AA11))</f>
        <v>Sponsor</v>
      </c>
      <c r="H11" s="12">
        <f>IF($AA11=0,"",INDEX('13 - DATA &amp; LISTS'!$AF$30:$AF$436,$AA11))</f>
        <v>46290</v>
      </c>
      <c r="I11" s="10" t="str">
        <f>IF($AA11=0,"",INDEX('13 - DATA &amp; LISTS'!$AG$30:$AG$436,$AA11))</f>
        <v>Cutover booking and supplier slot exposed</v>
      </c>
      <c r="J11" s="10" t="str">
        <f>IF($AA11=0,"",INDEX('13 - DATA &amp; LISTS'!$AH$30:$AH$436,$AA11))</f>
        <v>Accepted connectivity and representative recovery evidence</v>
      </c>
      <c r="K11" s="10" t="str">
        <f>IF($AA11=0,"",INDEX('13 - DATA &amp; LISTS'!$AI$30:$AI$436,$AA11))</f>
        <v>Open</v>
      </c>
      <c r="AA11">
        <f>IF(COUNTIF('13 - DATA &amp; LISTS'!$AK$30:$AK$436,"&lt;999999999999")&lt;3,0,MATCH(SMALL('13 - DATA &amp; LISTS'!$AK$30:$AK$436,3),'13 - DATA &amp; LISTS'!$AK$30:$AK$436,0))</f>
        <v>8</v>
      </c>
    </row>
    <row r="12" spans="1:27" ht="63.95" customHeight="1">
      <c r="A12" s="10" t="str">
        <f>IF($AA12=0,"",INDEX('13 - DATA &amp; LISTS'!$Y$30:$Y$436,$AA12))</f>
        <v>Critical</v>
      </c>
      <c r="B12" s="10" t="str">
        <f>IF($AA12=0,"",INDEX('13 - DATA &amp; LISTS'!$Z$30:$Z$436,$AA12))</f>
        <v>Dependencies</v>
      </c>
      <c r="C12" s="10" t="str">
        <f>IF($AA12=0,"",INDEX('13 - DATA &amp; LISTS'!$AA$30:$AA$436,$AA12))</f>
        <v>DEP-07</v>
      </c>
      <c r="D12" s="10" t="str">
        <f>IF($AA12=0,"",INDEX('13 - DATA &amp; LISTS'!$AB$30:$AB$436,$AA12))</f>
        <v>Cloud pilot network connectivity</v>
      </c>
      <c r="E12" s="10" t="str">
        <f>IF($AA12=0,"",INDEX('13 - DATA &amp; LISTS'!$AC$30:$AC$436,$AA12))</f>
        <v xml:space="preserve">REPEATED MISSED COMMITMENT LOW-CONFIDENCE FORECAST CONSUMER ACCEPTANCE MISSING </v>
      </c>
      <c r="F12" s="10" t="str">
        <f>IF($AA12=0,"",INDEX('13 - DATA &amp; LISTS'!$AD$30:$AD$436,$AA12))</f>
        <v>Review eliminate / decouple options before accepting another forecast.</v>
      </c>
      <c r="G12" s="10" t="str">
        <f>IF($AA12=0,"",INDEX('13 - DATA &amp; LISTS'!$AE$30:$AE$436,$AA12))</f>
        <v>Network owner</v>
      </c>
      <c r="H12" s="12">
        <f>IF($AA12=0,"",INDEX('13 - DATA &amp; LISTS'!$AF$30:$AF$436,$AA12))</f>
        <v>46290</v>
      </c>
      <c r="I12" s="10" t="str">
        <f>IF($AA12=0,"",INDEX('13 - DATA &amp; LISTS'!$AG$30:$AG$436,$AA12))</f>
        <v>Pilot production path cannot be accepted</v>
      </c>
      <c r="J12" s="10" t="str">
        <f>IF($AA12=0,"",INDEX('13 - DATA &amp; LISTS'!$AH$30:$AH$436,$AA12))</f>
        <v>Consumer witnesses production-path test</v>
      </c>
      <c r="K12" s="10" t="str">
        <f>IF($AA12=0,"",INDEX('13 - DATA &amp; LISTS'!$AI$30:$AI$436,$AA12))</f>
        <v>Unresolved</v>
      </c>
      <c r="AA12">
        <f>IF(COUNTIF('13 - DATA &amp; LISTS'!$AK$30:$AK$436,"&lt;999999999999")&lt;4,0,MATCH(SMALL('13 - DATA &amp; LISTS'!$AK$30:$AK$436,4),'13 - DATA &amp; LISTS'!$AK$30:$AK$436,0))</f>
        <v>58</v>
      </c>
    </row>
    <row r="13" spans="1:27" ht="63.95" customHeight="1">
      <c r="A13" s="10" t="str">
        <f>IF($AA13=0,"",INDEX('13 - DATA &amp; LISTS'!$Y$30:$Y$436,$AA13))</f>
        <v>Critical</v>
      </c>
      <c r="B13" s="10" t="str">
        <f>IF($AA13=0,"",INDEX('13 - DATA &amp; LISTS'!$Z$30:$Z$436,$AA13))</f>
        <v>Readiness</v>
      </c>
      <c r="C13" s="10" t="str">
        <f>IF($AA13=0,"",INDEX('13 - DATA &amp; LISTS'!$AA$30:$AA$436,$AA13))</f>
        <v>R-04</v>
      </c>
      <c r="D13" s="10" t="str">
        <f>IF($AA13=0,"",INDEX('13 - DATA &amp; LISTS'!$AB$30:$AB$436,$AA13))</f>
        <v>Access and on-call readiness</v>
      </c>
      <c r="E13" s="10" t="str">
        <f>IF($AA13=0,"",INDEX('13 - DATA &amp; LISTS'!$AC$30:$AC$436,$AA13))</f>
        <v xml:space="preserve">RELEASE BLOCKER LINKED DEPENDENCY UNRESOLVED </v>
      </c>
      <c r="F13" s="10" t="str">
        <f>IF($AA13=0,"",INDEX('13 - DATA &amp; LISTS'!$AD$30:$AD$436,$AA13))</f>
        <v>Hold release or obtain explicit authorised risk acceptance.</v>
      </c>
      <c r="G13" s="10" t="str">
        <f>IF($AA13=0,"",INDEX('13 - DATA &amp; LISTS'!$AE$30:$AE$436,$AA13))</f>
        <v>Access owner</v>
      </c>
      <c r="H13" s="12">
        <f>IF($AA13=0,"",INDEX('13 - DATA &amp; LISTS'!$AF$30:$AF$436,$AA13))</f>
        <v>46293</v>
      </c>
      <c r="I13" s="10" t="str">
        <f>IF($AA13=0,"",INDEX('13 - DATA &amp; LISTS'!$AG$30:$AG$436,$AA13))</f>
        <v>Operators cannot demonstrate privileged access</v>
      </c>
      <c r="J13" s="10" t="str">
        <f>IF($AA13=0,"",INDEX('13 - DATA &amp; LISTS'!$AH$30:$AH$436,$AA13))</f>
        <v/>
      </c>
      <c r="K13" s="10" t="str">
        <f>IF($AA13=0,"",INDEX('13 - DATA &amp; LISTS'!$AI$30:$AI$436,$AA13))</f>
        <v>Gap</v>
      </c>
      <c r="AA13">
        <f>IF(COUNTIF('13 - DATA &amp; LISTS'!$AK$30:$AK$436,"&lt;999999999999")&lt;5,0,MATCH(SMALL('13 - DATA &amp; LISTS'!$AK$30:$AK$436,5),'13 - DATA &amp; LISTS'!$AK$30:$AK$436,0))</f>
        <v>211</v>
      </c>
    </row>
    <row r="14" spans="1:27" ht="63.95" customHeight="1">
      <c r="A14" s="10" t="str">
        <f>IF($AA14=0,"",INDEX('13 - DATA &amp; LISTS'!$Y$30:$Y$436,$AA14))</f>
        <v>Critical</v>
      </c>
      <c r="B14" s="10" t="str">
        <f>IF($AA14=0,"",INDEX('13 - DATA &amp; LISTS'!$Z$30:$Z$436,$AA14))</f>
        <v>Assurance</v>
      </c>
      <c r="C14" s="10" t="str">
        <f>IF($AA14=0,"",INDEX('13 - DATA &amp; LISTS'!$AA$30:$AA$436,$AA14))</f>
        <v>H-05</v>
      </c>
      <c r="D14" s="10" t="str">
        <f>IF($AA14=0,"",INDEX('13 - DATA &amp; LISTS'!$AB$30:$AB$436,$AA14))</f>
        <v>Production-scale recovery not demonstrated</v>
      </c>
      <c r="E14" s="10" t="str">
        <f>IF($AA14=0,"",INDEX('13 - DATA &amp; LISTS'!$AC$30:$AC$436,$AA14))</f>
        <v xml:space="preserve">EVIDENCE GAP BEFORE COMMITMENT </v>
      </c>
      <c r="F14" s="10" t="str">
        <f>IF($AA14=0,"",INDEX('13 - DATA &amp; LISTS'!$AD$30:$AD$436,$AA14))</f>
        <v>Commission representative rehearsal</v>
      </c>
      <c r="G14" s="10" t="str">
        <f>IF($AA14=0,"",INDEX('13 - DATA &amp; LISTS'!$AE$30:$AE$436,$AA14))</f>
        <v>Assurance lead</v>
      </c>
      <c r="H14" s="12">
        <f>IF($AA14=0,"",INDEX('13 - DATA &amp; LISTS'!$AF$30:$AF$436,$AA14))</f>
        <v>46294</v>
      </c>
      <c r="I14" s="10" t="str">
        <f>IF($AA14=0,"",INDEX('13 - DATA &amp; LISTS'!$AG$30:$AG$436,$AA14))</f>
        <v>Release or outcome claim remains constrained</v>
      </c>
      <c r="J14" s="10" t="str">
        <f>IF($AA14=0,"",INDEX('13 - DATA &amp; LISTS'!$AH$30:$AH$436,$AA14))</f>
        <v>CAP-01</v>
      </c>
      <c r="K14" s="10" t="str">
        <f>IF($AA14=0,"",INDEX('13 - DATA &amp; LISTS'!$AI$30:$AI$436,$AA14))</f>
        <v>Unknown</v>
      </c>
      <c r="AA14">
        <f>IF(COUNTIF('13 - DATA &amp; LISTS'!$AK$30:$AK$436,"&lt;999999999999")&lt;6,0,MATCH(SMALL('13 - DATA &amp; LISTS'!$AK$30:$AK$436,6),'13 - DATA &amp; LISTS'!$AK$30:$AK$436,0))</f>
        <v>5</v>
      </c>
    </row>
    <row r="15" spans="1:27" ht="63.95" customHeight="1">
      <c r="A15" s="10" t="str">
        <f>IF($AA15=0,"",INDEX('13 - DATA &amp; LISTS'!$Y$30:$Y$436,$AA15))</f>
        <v>Critical</v>
      </c>
      <c r="B15" s="10" t="str">
        <f>IF($AA15=0,"",INDEX('13 - DATA &amp; LISTS'!$Z$30:$Z$436,$AA15))</f>
        <v>Assurance</v>
      </c>
      <c r="C15" s="10" t="str">
        <f>IF($AA15=0,"",INDEX('13 - DATA &amp; LISTS'!$AA$30:$AA$436,$AA15))</f>
        <v>CAP-01</v>
      </c>
      <c r="D15" s="10" t="str">
        <f>IF($AA15=0,"",INDEX('13 - DATA &amp; LISTS'!$AB$30:$AB$436,$AA15))</f>
        <v>Atlas pilot recovery / release candidate 3</v>
      </c>
      <c r="E15" s="10" t="str">
        <f>IF($AA15=0,"",INDEX('13 - DATA &amp; LISTS'!$AC$30:$AC$436,$AA15))</f>
        <v xml:space="preserve">REPRESENTATIVE CAPABILITY NOT VERIFIED </v>
      </c>
      <c r="F15" s="10" t="str">
        <f>IF($AA15=0,"",INDEX('13 - DATA &amp; LISTS'!$AD$30:$AD$436,$AA15))</f>
        <v>Commission targeted evidence before the commitment date.</v>
      </c>
      <c r="G15" s="10" t="str">
        <f>IF($AA15=0,"",INDEX('13 - DATA &amp; LISTS'!$AE$30:$AE$436,$AA15))</f>
        <v>Assurance lead</v>
      </c>
      <c r="H15" s="12">
        <f>IF($AA15=0,"",INDEX('13 - DATA &amp; LISTS'!$AF$30:$AF$436,$AA15))</f>
        <v>46294</v>
      </c>
      <c r="I15" s="10" t="str">
        <f>IF($AA15=0,"",INDEX('13 - DATA &amp; LISTS'!$AG$30:$AG$436,$AA15))</f>
        <v>Release recovery claim unsupported at production scale</v>
      </c>
      <c r="J15" s="10" t="str">
        <f>IF($AA15=0,"",INDEX('13 - DATA &amp; LISTS'!$AH$30:$AH$436,$AA15))</f>
        <v>Production-path rehearsal with receiving operator</v>
      </c>
      <c r="K15" s="10" t="str">
        <f>IF($AA15=0,"",INDEX('13 - DATA &amp; LISTS'!$AI$30:$AI$436,$AA15))</f>
        <v>In progress</v>
      </c>
      <c r="AA15">
        <f>IF(COUNTIF('13 - DATA &amp; LISTS'!$AK$30:$AK$436,"&lt;999999999999")&lt;7,0,MATCH(SMALL('13 - DATA &amp; LISTS'!$AK$30:$AK$436,7),'13 - DATA &amp; LISTS'!$AK$30:$AK$436,0))</f>
        <v>158</v>
      </c>
    </row>
    <row r="16" spans="1:27" ht="63.95" customHeight="1">
      <c r="A16" s="10" t="str">
        <f>IF($AA16=0,"",INDEX('13 - DATA &amp; LISTS'!$Y$30:$Y$436,$AA16))</f>
        <v>Critical</v>
      </c>
      <c r="B16" s="10" t="str">
        <f>IF($AA16=0,"",INDEX('13 - DATA &amp; LISTS'!$Z$30:$Z$436,$AA16))</f>
        <v>Readiness</v>
      </c>
      <c r="C16" s="10" t="str">
        <f>IF($AA16=0,"",INDEX('13 - DATA &amp; LISTS'!$AA$30:$AA$436,$AA16))</f>
        <v>R-05</v>
      </c>
      <c r="D16" s="10" t="str">
        <f>IF($AA16=0,"",INDEX('13 - DATA &amp; LISTS'!$AB$30:$AB$436,$AA16))</f>
        <v>Recovery and data integrity</v>
      </c>
      <c r="E16" s="10" t="str">
        <f>IF($AA16=0,"",INDEX('13 - DATA &amp; LISTS'!$AC$30:$AC$436,$AA16))</f>
        <v xml:space="preserve">RELEASE BLOCKER READINESS UNKNOWN LINKED DEPENDENCY UNRESOLVED </v>
      </c>
      <c r="F16" s="10" t="str">
        <f>IF($AA16=0,"",INDEX('13 - DATA &amp; LISTS'!$AD$30:$AD$436,$AA16))</f>
        <v>Hold release or obtain explicit authorised risk acceptance.</v>
      </c>
      <c r="G16" s="10" t="str">
        <f>IF($AA16=0,"",INDEX('13 - DATA &amp; LISTS'!$AE$30:$AE$436,$AA16))</f>
        <v>Assurance lead</v>
      </c>
      <c r="H16" s="12">
        <f>IF($AA16=0,"",INDEX('13 - DATA &amp; LISTS'!$AF$30:$AF$436,$AA16))</f>
        <v>46294</v>
      </c>
      <c r="I16" s="10" t="str">
        <f>IF($AA16=0,"",INDEX('13 - DATA &amp; LISTS'!$AG$30:$AG$436,$AA16))</f>
        <v>Recovery at production scale not demonstrated</v>
      </c>
      <c r="J16" s="10" t="str">
        <f>IF($AA16=0,"",INDEX('13 - DATA &amp; LISTS'!$AH$30:$AH$436,$AA16))</f>
        <v/>
      </c>
      <c r="K16" s="10" t="str">
        <f>IF($AA16=0,"",INDEX('13 - DATA &amp; LISTS'!$AI$30:$AI$436,$AA16))</f>
        <v>Unknown</v>
      </c>
      <c r="AA16">
        <f>IF(COUNTIF('13 - DATA &amp; LISTS'!$AK$30:$AK$436,"&lt;999999999999")&lt;8,0,MATCH(SMALL('13 - DATA &amp; LISTS'!$AK$30:$AK$436,8),'13 - DATA &amp; LISTS'!$AK$30:$AK$436,0))</f>
        <v>212</v>
      </c>
    </row>
    <row r="17" spans="1:27" ht="63.95" customHeight="1">
      <c r="A17" s="10" t="str">
        <f>IF($AA17=0,"",INDEX('13 - DATA &amp; LISTS'!$Y$30:$Y$436,$AA17))</f>
        <v>Critical</v>
      </c>
      <c r="B17" s="10" t="str">
        <f>IF($AA17=0,"",INDEX('13 - DATA &amp; LISTS'!$Z$30:$Z$436,$AA17))</f>
        <v>Readiness</v>
      </c>
      <c r="C17" s="10" t="str">
        <f>IF($AA17=0,"",INDEX('13 - DATA &amp; LISTS'!$AA$30:$AA$436,$AA17))</f>
        <v>R-11</v>
      </c>
      <c r="D17" s="10" t="str">
        <f>IF($AA17=0,"",INDEX('13 - DATA &amp; LISTS'!$AB$30:$AB$436,$AA17))</f>
        <v>Cutover</v>
      </c>
      <c r="E17" s="10" t="str">
        <f>IF($AA17=0,"",INDEX('13 - DATA &amp; LISTS'!$AC$30:$AC$436,$AA17))</f>
        <v xml:space="preserve">RELEASE BLOCKER READINESS UNKNOWN </v>
      </c>
      <c r="F17" s="10" t="str">
        <f>IF($AA17=0,"",INDEX('13 - DATA &amp; LISTS'!$AD$30:$AD$436,$AA17))</f>
        <v>Hold release or obtain explicit authorised risk acceptance.</v>
      </c>
      <c r="G17" s="10" t="str">
        <f>IF($AA17=0,"",INDEX('13 - DATA &amp; LISTS'!$AE$30:$AE$436,$AA17))</f>
        <v>Service owner</v>
      </c>
      <c r="H17" s="12">
        <f>IF($AA17=0,"",INDEX('13 - DATA &amp; LISTS'!$AF$30:$AF$436,$AA17))</f>
        <v>46294</v>
      </c>
      <c r="I17" s="10" t="str">
        <f>IF($AA17=0,"",INDEX('13 - DATA &amp; LISTS'!$AG$30:$AG$436,$AA17))</f>
        <v>Receiving team needs operational evidence</v>
      </c>
      <c r="J17" s="10" t="str">
        <f>IF($AA17=0,"",INDEX('13 - DATA &amp; LISTS'!$AH$30:$AH$436,$AA17))</f>
        <v/>
      </c>
      <c r="K17" s="10" t="str">
        <f>IF($AA17=0,"",INDEX('13 - DATA &amp; LISTS'!$AI$30:$AI$436,$AA17))</f>
        <v>Unknown</v>
      </c>
      <c r="AA17">
        <f>IF(COUNTIF('13 - DATA &amp; LISTS'!$AK$30:$AK$436,"&lt;999999999999")&lt;9,0,MATCH(SMALL('13 - DATA &amp; LISTS'!$AK$30:$AK$436,9),'13 - DATA &amp; LISTS'!$AK$30:$AK$436,0))</f>
        <v>218</v>
      </c>
    </row>
    <row r="18" spans="1:27" ht="63.95" customHeight="1">
      <c r="A18" s="10" t="str">
        <f>IF($AA18=0,"",INDEX('13 - DATA &amp; LISTS'!$Y$30:$Y$436,$AA18))</f>
        <v>Critical</v>
      </c>
      <c r="B18" s="10" t="str">
        <f>IF($AA18=0,"",INDEX('13 - DATA &amp; LISTS'!$Z$30:$Z$436,$AA18))</f>
        <v>Readiness</v>
      </c>
      <c r="C18" s="10" t="str">
        <f>IF($AA18=0,"",INDEX('13 - DATA &amp; LISTS'!$AA$30:$AA$436,$AA18))</f>
        <v>R-12</v>
      </c>
      <c r="D18" s="10" t="str">
        <f>IF($AA18=0,"",INDEX('13 - DATA &amp; LISTS'!$AB$30:$AB$436,$AA18))</f>
        <v>Rollback</v>
      </c>
      <c r="E18" s="10" t="str">
        <f>IF($AA18=0,"",INDEX('13 - DATA &amp; LISTS'!$AC$30:$AC$436,$AA18))</f>
        <v xml:space="preserve">RELEASE BLOCKER READINESS UNKNOWN </v>
      </c>
      <c r="F18" s="10" t="str">
        <f>IF($AA18=0,"",INDEX('13 - DATA &amp; LISTS'!$AD$30:$AD$436,$AA18))</f>
        <v>Hold release or obtain explicit authorised risk acceptance.</v>
      </c>
      <c r="G18" s="10" t="str">
        <f>IF($AA18=0,"",INDEX('13 - DATA &amp; LISTS'!$AE$30:$AE$436,$AA18))</f>
        <v>Service owner</v>
      </c>
      <c r="H18" s="12">
        <f>IF($AA18=0,"",INDEX('13 - DATA &amp; LISTS'!$AF$30:$AF$436,$AA18))</f>
        <v>46294</v>
      </c>
      <c r="I18" s="10" t="str">
        <f>IF($AA18=0,"",INDEX('13 - DATA &amp; LISTS'!$AG$30:$AG$436,$AA18))</f>
        <v>Receiving team needs operational evidence</v>
      </c>
      <c r="J18" s="10" t="str">
        <f>IF($AA18=0,"",INDEX('13 - DATA &amp; LISTS'!$AH$30:$AH$436,$AA18))</f>
        <v/>
      </c>
      <c r="K18" s="10" t="str">
        <f>IF($AA18=0,"",INDEX('13 - DATA &amp; LISTS'!$AI$30:$AI$436,$AA18))</f>
        <v>Unknown</v>
      </c>
      <c r="AA18">
        <f>IF(COUNTIF('13 - DATA &amp; LISTS'!$AK$30:$AK$436,"&lt;999999999999")&lt;10,0,MATCH(SMALL('13 - DATA &amp; LISTS'!$AK$30:$AK$436,10),'13 - DATA &amp; LISTS'!$AK$30:$AK$436,0))</f>
        <v>219</v>
      </c>
    </row>
    <row r="19" spans="1:27" ht="63.95" customHeight="1">
      <c r="A19" s="10" t="str">
        <f>IF($AA19=0,"",INDEX('13 - DATA &amp; LISTS'!$Y$30:$Y$436,$AA19))</f>
        <v>Review</v>
      </c>
      <c r="B19" s="10" t="str">
        <f>IF($AA19=0,"",INDEX('13 - DATA &amp; LISTS'!$Z$30:$Z$436,$AA19))</f>
        <v>Flow</v>
      </c>
      <c r="C19" s="10" t="str">
        <f>IF($AA19=0,"",INDEX('13 - DATA &amp; LISTS'!$AA$30:$AA$436,$AA19))</f>
        <v>F-01</v>
      </c>
      <c r="D19" s="10" t="str">
        <f>IF($AA19=0,"",INDEX('13 - DATA &amp; LISTS'!$AB$30:$AB$436,$AA19))</f>
        <v>Production-path acceptance</v>
      </c>
      <c r="E19" s="10" t="str">
        <f>IF($AA19=0,"",INDEX('13 - DATA &amp; LISTS'!$AC$30:$AC$436,$AA19))</f>
        <v xml:space="preserve">BLOCKER AGE THRESHOLD REPEATED MILESTONE MOVEMENT </v>
      </c>
      <c r="F19" s="10" t="str">
        <f>IF($AA19=0,"",INDEX('13 - DATA &amp; LISTS'!$AD$30:$AD$436,$AA19))</f>
        <v>Resolve the constraint and shorten the next evidence loop.</v>
      </c>
      <c r="G19" s="10" t="str">
        <f>IF($AA19=0,"",INDEX('13 - DATA &amp; LISTS'!$AE$30:$AE$436,$AA19))</f>
        <v>Network owner</v>
      </c>
      <c r="H19" s="12">
        <f>IF($AA19=0,"",INDEX('13 - DATA &amp; LISTS'!$AF$30:$AF$436,$AA19))</f>
        <v>46290</v>
      </c>
      <c r="I19" s="10" t="str">
        <f>IF($AA19=0,"",INDEX('13 - DATA &amp; LISTS'!$AG$30:$AG$436,$AA19))</f>
        <v>Release evidence remains unavailable</v>
      </c>
      <c r="J19" s="10" t="str">
        <f>IF($AA19=0,"",INDEX('13 - DATA &amp; LISTS'!$AH$30:$AH$436,$AA19))</f>
        <v>Witnessed routing and failover tests</v>
      </c>
      <c r="K19" s="10" t="str">
        <f>IF($AA19=0,"",INDEX('13 - DATA &amp; LISTS'!$AI$30:$AI$436,$AA19))</f>
        <v>Acceptance queue</v>
      </c>
      <c r="AA19">
        <f>IF(COUNTIF('13 - DATA &amp; LISTS'!$AK$30:$AK$436,"&lt;999999999999")&lt;11,0,MATCH(SMALL('13 - DATA &amp; LISTS'!$AK$30:$AK$436,11),'13 - DATA &amp; LISTS'!$AK$30:$AK$436,0))</f>
        <v>108</v>
      </c>
    </row>
    <row r="20" spans="1:27" ht="63.95" customHeight="1">
      <c r="A20" s="10" t="str">
        <f>IF($AA20=0,"",INDEX('13 - DATA &amp; LISTS'!$Y$30:$Y$436,$AA20))</f>
        <v>Review</v>
      </c>
      <c r="B20" s="10" t="str">
        <f>IF($AA20=0,"",INDEX('13 - DATA &amp; LISTS'!$Z$30:$Z$436,$AA20))</f>
        <v>Readiness</v>
      </c>
      <c r="C20" s="10" t="str">
        <f>IF($AA20=0,"",INDEX('13 - DATA &amp; LISTS'!$AA$30:$AA$436,$AA20))</f>
        <v>R-02</v>
      </c>
      <c r="D20" s="10" t="str">
        <f>IF($AA20=0,"",INDEX('13 - DATA &amp; LISTS'!$AB$30:$AB$436,$AA20))</f>
        <v>Observability</v>
      </c>
      <c r="E20" s="10" t="str">
        <f>IF($AA20=0,"",INDEX('13 - DATA &amp; LISTS'!$AC$30:$AC$436,$AA20))</f>
        <v xml:space="preserve">READINESS UNKNOWN </v>
      </c>
      <c r="F20" s="10" t="str">
        <f>IF($AA20=0,"",INDEX('13 - DATA &amp; LISTS'!$AD$30:$AD$436,$AA20))</f>
        <v>Demonstrate the operator task and record current evidence.</v>
      </c>
      <c r="G20" s="10" t="str">
        <f>IF($AA20=0,"",INDEX('13 - DATA &amp; LISTS'!$AE$30:$AE$436,$AA20))</f>
        <v>Service owner</v>
      </c>
      <c r="H20" s="12">
        <f>IF($AA20=0,"",INDEX('13 - DATA &amp; LISTS'!$AF$30:$AF$436,$AA20))</f>
        <v>46293</v>
      </c>
      <c r="I20" s="10" t="str">
        <f>IF($AA20=0,"",INDEX('13 - DATA &amp; LISTS'!$AG$30:$AG$436,$AA20))</f>
        <v>Receiving team needs operational evidence</v>
      </c>
      <c r="J20" s="10" t="str">
        <f>IF($AA20=0,"",INDEX('13 - DATA &amp; LISTS'!$AH$30:$AH$436,$AA20))</f>
        <v/>
      </c>
      <c r="K20" s="10" t="str">
        <f>IF($AA20=0,"",INDEX('13 - DATA &amp; LISTS'!$AI$30:$AI$436,$AA20))</f>
        <v>Unknown</v>
      </c>
      <c r="AA20">
        <f>IF(COUNTIF('13 - DATA &amp; LISTS'!$AK$30:$AK$436,"&lt;999999999999")&lt;12,0,MATCH(SMALL('13 - DATA &amp; LISTS'!$AK$30:$AK$436,12),'13 - DATA &amp; LISTS'!$AK$30:$AK$436,0))</f>
        <v>209</v>
      </c>
    </row>
    <row r="21" spans="1:27" ht="63.95" customHeight="1">
      <c r="A21" s="10" t="str">
        <f>IF($AA21=0,"",INDEX('13 - DATA &amp; LISTS'!$Y$30:$Y$436,$AA21))</f>
        <v>Review</v>
      </c>
      <c r="B21" s="10" t="str">
        <f>IF($AA21=0,"",INDEX('13 - DATA &amp; LISTS'!$Z$30:$Z$436,$AA21))</f>
        <v>Readiness</v>
      </c>
      <c r="C21" s="10" t="str">
        <f>IF($AA21=0,"",INDEX('13 - DATA &amp; LISTS'!$AA$30:$AA$436,$AA21))</f>
        <v>R-06</v>
      </c>
      <c r="D21" s="10" t="str">
        <f>IF($AA21=0,"",INDEX('13 - DATA &amp; LISTS'!$AB$30:$AB$436,$AA21))</f>
        <v>Security</v>
      </c>
      <c r="E21" s="10" t="str">
        <f>IF($AA21=0,"",INDEX('13 - DATA &amp; LISTS'!$AC$30:$AC$436,$AA21))</f>
        <v xml:space="preserve">READINESS UNKNOWN </v>
      </c>
      <c r="F21" s="10" t="str">
        <f>IF($AA21=0,"",INDEX('13 - DATA &amp; LISTS'!$AD$30:$AD$436,$AA21))</f>
        <v>Demonstrate the operator task and record current evidence.</v>
      </c>
      <c r="G21" s="10" t="str">
        <f>IF($AA21=0,"",INDEX('13 - DATA &amp; LISTS'!$AE$30:$AE$436,$AA21))</f>
        <v>Service owner</v>
      </c>
      <c r="H21" s="12">
        <f>IF($AA21=0,"",INDEX('13 - DATA &amp; LISTS'!$AF$30:$AF$436,$AA21))</f>
        <v>46293</v>
      </c>
      <c r="I21" s="10" t="str">
        <f>IF($AA21=0,"",INDEX('13 - DATA &amp; LISTS'!$AG$30:$AG$436,$AA21))</f>
        <v>Receiving team needs operational evidence</v>
      </c>
      <c r="J21" s="10" t="str">
        <f>IF($AA21=0,"",INDEX('13 - DATA &amp; LISTS'!$AH$30:$AH$436,$AA21))</f>
        <v/>
      </c>
      <c r="K21" s="10" t="str">
        <f>IF($AA21=0,"",INDEX('13 - DATA &amp; LISTS'!$AI$30:$AI$436,$AA21))</f>
        <v>Unknown</v>
      </c>
      <c r="AA21">
        <f>IF(COUNTIF('13 - DATA &amp; LISTS'!$AK$30:$AK$436,"&lt;999999999999")&lt;13,0,MATCH(SMALL('13 - DATA &amp; LISTS'!$AK$30:$AK$436,13),'13 - DATA &amp; LISTS'!$AK$30:$AK$436,0))</f>
        <v>213</v>
      </c>
    </row>
    <row r="22" spans="1:27" ht="63.95" customHeight="1">
      <c r="A22" s="10" t="str">
        <f>IF($AA22=0,"",INDEX('13 - DATA &amp; LISTS'!$Y$30:$Y$436,$AA22))</f>
        <v>Review</v>
      </c>
      <c r="B22" s="10" t="str">
        <f>IF($AA22=0,"",INDEX('13 - DATA &amp; LISTS'!$Z$30:$Z$436,$AA22))</f>
        <v>Readiness</v>
      </c>
      <c r="C22" s="10" t="str">
        <f>IF($AA22=0,"",INDEX('13 - DATA &amp; LISTS'!$AA$30:$AA$436,$AA22))</f>
        <v>R-07</v>
      </c>
      <c r="D22" s="10" t="str">
        <f>IF($AA22=0,"",INDEX('13 - DATA &amp; LISTS'!$AB$30:$AB$436,$AA22))</f>
        <v>Documentation</v>
      </c>
      <c r="E22" s="10" t="str">
        <f>IF($AA22=0,"",INDEX('13 - DATA &amp; LISTS'!$AC$30:$AC$436,$AA22))</f>
        <v xml:space="preserve">READINESS UNKNOWN </v>
      </c>
      <c r="F22" s="10" t="str">
        <f>IF($AA22=0,"",INDEX('13 - DATA &amp; LISTS'!$AD$30:$AD$436,$AA22))</f>
        <v>Demonstrate the operator task and record current evidence.</v>
      </c>
      <c r="G22" s="10" t="str">
        <f>IF($AA22=0,"",INDEX('13 - DATA &amp; LISTS'!$AE$30:$AE$436,$AA22))</f>
        <v>Service owner</v>
      </c>
      <c r="H22" s="12">
        <f>IF($AA22=0,"",INDEX('13 - DATA &amp; LISTS'!$AF$30:$AF$436,$AA22))</f>
        <v>46293</v>
      </c>
      <c r="I22" s="10" t="str">
        <f>IF($AA22=0,"",INDEX('13 - DATA &amp; LISTS'!$AG$30:$AG$436,$AA22))</f>
        <v>Receiving team needs operational evidence</v>
      </c>
      <c r="J22" s="10" t="str">
        <f>IF($AA22=0,"",INDEX('13 - DATA &amp; LISTS'!$AH$30:$AH$436,$AA22))</f>
        <v/>
      </c>
      <c r="K22" s="10" t="str">
        <f>IF($AA22=0,"",INDEX('13 - DATA &amp; LISTS'!$AI$30:$AI$436,$AA22))</f>
        <v>Unknown</v>
      </c>
      <c r="AA22">
        <f>IF(COUNTIF('13 - DATA &amp; LISTS'!$AK$30:$AK$436,"&lt;999999999999")&lt;14,0,MATCH(SMALL('13 - DATA &amp; LISTS'!$AK$30:$AK$436,14),'13 - DATA &amp; LISTS'!$AK$30:$AK$436,0))</f>
        <v>214</v>
      </c>
    </row>
    <row r="23" spans="1:27" ht="63.95" customHeight="1">
      <c r="A23" s="10" t="str">
        <f>IF($AA23=0,"",INDEX('13 - DATA &amp; LISTS'!$Y$30:$Y$436,$AA23))</f>
        <v>Review</v>
      </c>
      <c r="B23" s="10" t="str">
        <f>IF($AA23=0,"",INDEX('13 - DATA &amp; LISTS'!$Z$30:$Z$436,$AA23))</f>
        <v>Readiness</v>
      </c>
      <c r="C23" s="10" t="str">
        <f>IF($AA23=0,"",INDEX('13 - DATA &amp; LISTS'!$AA$30:$AA$436,$AA23))</f>
        <v>R-09</v>
      </c>
      <c r="D23" s="10" t="str">
        <f>IF($AA23=0,"",INDEX('13 - DATA &amp; LISTS'!$AB$30:$AB$436,$AA23))</f>
        <v>Training</v>
      </c>
      <c r="E23" s="10" t="str">
        <f>IF($AA23=0,"",INDEX('13 - DATA &amp; LISTS'!$AC$30:$AC$436,$AA23))</f>
        <v xml:space="preserve">READINESS UNKNOWN </v>
      </c>
      <c r="F23" s="10" t="str">
        <f>IF($AA23=0,"",INDEX('13 - DATA &amp; LISTS'!$AD$30:$AD$436,$AA23))</f>
        <v>Demonstrate the operator task and record current evidence.</v>
      </c>
      <c r="G23" s="10" t="str">
        <f>IF($AA23=0,"",INDEX('13 - DATA &amp; LISTS'!$AE$30:$AE$436,$AA23))</f>
        <v>Service owner</v>
      </c>
      <c r="H23" s="12">
        <f>IF($AA23=0,"",INDEX('13 - DATA &amp; LISTS'!$AF$30:$AF$436,$AA23))</f>
        <v>46293</v>
      </c>
      <c r="I23" s="10" t="str">
        <f>IF($AA23=0,"",INDEX('13 - DATA &amp; LISTS'!$AG$30:$AG$436,$AA23))</f>
        <v>Receiving team needs operational evidence</v>
      </c>
      <c r="J23" s="10" t="str">
        <f>IF($AA23=0,"",INDEX('13 - DATA &amp; LISTS'!$AH$30:$AH$436,$AA23))</f>
        <v/>
      </c>
      <c r="K23" s="10" t="str">
        <f>IF($AA23=0,"",INDEX('13 - DATA &amp; LISTS'!$AI$30:$AI$436,$AA23))</f>
        <v>Unknown</v>
      </c>
      <c r="AA23">
        <f>IF(COUNTIF('13 - DATA &amp; LISTS'!$AK$30:$AK$436,"&lt;999999999999")&lt;15,0,MATCH(SMALL('13 - DATA &amp; LISTS'!$AK$30:$AK$436,15),'13 - DATA &amp; LISTS'!$AK$30:$AK$436,0))</f>
        <v>216</v>
      </c>
    </row>
    <row r="24" spans="1:27" ht="63.95" customHeight="1">
      <c r="A24" s="10" t="str">
        <f>IF($AA24=0,"",INDEX('13 - DATA &amp; LISTS'!$Y$30:$Y$436,$AA24))</f>
        <v>Review</v>
      </c>
      <c r="B24" s="10" t="str">
        <f>IF($AA24=0,"",INDEX('13 - DATA &amp; LISTS'!$Z$30:$Z$436,$AA24))</f>
        <v>Readiness</v>
      </c>
      <c r="C24" s="10" t="str">
        <f>IF($AA24=0,"",INDEX('13 - DATA &amp; LISTS'!$AA$30:$AA$436,$AA24))</f>
        <v>R-10</v>
      </c>
      <c r="D24" s="10" t="str">
        <f>IF($AA24=0,"",INDEX('13 - DATA &amp; LISTS'!$AB$30:$AB$436,$AA24))</f>
        <v>Incident response</v>
      </c>
      <c r="E24" s="10" t="str">
        <f>IF($AA24=0,"",INDEX('13 - DATA &amp; LISTS'!$AC$30:$AC$436,$AA24))</f>
        <v xml:space="preserve">READINESS UNKNOWN </v>
      </c>
      <c r="F24" s="10" t="str">
        <f>IF($AA24=0,"",INDEX('13 - DATA &amp; LISTS'!$AD$30:$AD$436,$AA24))</f>
        <v>Demonstrate the operator task and record current evidence.</v>
      </c>
      <c r="G24" s="10" t="str">
        <f>IF($AA24=0,"",INDEX('13 - DATA &amp; LISTS'!$AE$30:$AE$436,$AA24))</f>
        <v>Service owner</v>
      </c>
      <c r="H24" s="12">
        <f>IF($AA24=0,"",INDEX('13 - DATA &amp; LISTS'!$AF$30:$AF$436,$AA24))</f>
        <v>46294</v>
      </c>
      <c r="I24" s="10" t="str">
        <f>IF($AA24=0,"",INDEX('13 - DATA &amp; LISTS'!$AG$30:$AG$436,$AA24))</f>
        <v>Receiving team needs operational evidence</v>
      </c>
      <c r="J24" s="10" t="str">
        <f>IF($AA24=0,"",INDEX('13 - DATA &amp; LISTS'!$AH$30:$AH$436,$AA24))</f>
        <v/>
      </c>
      <c r="K24" s="10" t="str">
        <f>IF($AA24=0,"",INDEX('13 - DATA &amp; LISTS'!$AI$30:$AI$436,$AA24))</f>
        <v>Unknown</v>
      </c>
      <c r="AA24">
        <f>IF(COUNTIF('13 - DATA &amp; LISTS'!$AK$30:$AK$436,"&lt;999999999999")&lt;16,0,MATCH(SMALL('13 - DATA &amp; LISTS'!$AK$30:$AK$436,16),'13 - DATA &amp; LISTS'!$AK$30:$AK$436,0))</f>
        <v>217</v>
      </c>
    </row>
    <row r="25" spans="1:27" ht="63.95" customHeight="1">
      <c r="A25" s="10" t="str">
        <f>IF($AA25=0,"",INDEX('13 - DATA &amp; LISTS'!$Y$30:$Y$436,$AA25))</f>
        <v>Review</v>
      </c>
      <c r="B25" s="10" t="str">
        <f>IF($AA25=0,"",INDEX('13 - DATA &amp; LISTS'!$Z$30:$Z$436,$AA25))</f>
        <v>Adoption</v>
      </c>
      <c r="C25" s="10" t="str">
        <f>IF($AA25=0,"",INDEX('13 - DATA &amp; LISTS'!$AA$30:$AA$436,$AA25))</f>
        <v>B-01</v>
      </c>
      <c r="D25" s="10" t="str">
        <f>IF($AA25=0,"",INDEX('13 - DATA &amp; LISTS'!$AB$30:$AB$436,$AA25))</f>
        <v>Reduce manual recovery coordination</v>
      </c>
      <c r="E25" s="10" t="str">
        <f>IF($AA25=0,"",INDEX('13 - DATA &amp; LISTS'!$AC$30:$AC$436,$AA25))</f>
        <v xml:space="preserve">DENOMINATOR MISSING OR ZERO NO BASELINE HANDOVER NOT RECORDED </v>
      </c>
      <c r="F25" s="10" t="str">
        <f>IF($AA25=0,"",INDEX('13 - DATA &amp; LISTS'!$AD$30:$AD$436,$AA25))</f>
        <v>Define eligible cohort before reporting adoption percentage.</v>
      </c>
      <c r="G25" s="10" t="str">
        <f>IF($AA25=0,"",INDEX('13 - DATA &amp; LISTS'!$AE$30:$AE$436,$AA25))</f>
        <v>Service owner</v>
      </c>
      <c r="H25" s="12">
        <f>IF($AA25=0,"",INDEX('13 - DATA &amp; LISTS'!$AF$30:$AF$436,$AA25))</f>
        <v>46294</v>
      </c>
      <c r="I25" s="10" t="str">
        <f>IF($AA25=0,"",INDEX('13 - DATA &amp; LISTS'!$AG$30:$AG$436,$AA25))</f>
        <v>Outcome claim cannot yet be supported</v>
      </c>
      <c r="J25" s="10" t="str">
        <f>IF($AA25=0,"",INDEX('13 - DATA &amp; LISTS'!$AH$30:$AH$436,$AA25))</f>
        <v>Comparable operator-led exercise with defined eligible cohort</v>
      </c>
      <c r="K25" s="10" t="str">
        <f>IF($AA25=0,"",INDEX('13 - DATA &amp; LISTS'!$AI$30:$AI$436,$AA25))</f>
        <v>In progress</v>
      </c>
      <c r="AA25">
        <f>IF(COUNTIF('13 - DATA &amp; LISTS'!$AK$30:$AK$436,"&lt;999999999999")&lt;17,0,MATCH(SMALL('13 - DATA &amp; LISTS'!$AK$30:$AK$436,17),'13 - DATA &amp; LISTS'!$AK$30:$AK$436,0))</f>
        <v>258</v>
      </c>
    </row>
    <row r="26" spans="1:27" ht="63.95" customHeight="1">
      <c r="A26" s="10" t="str">
        <f>IF($AA26=0,"",INDEX('13 - DATA &amp; LISTS'!$Y$30:$Y$436,$AA26))</f>
        <v>Routine</v>
      </c>
      <c r="B26" s="10" t="str">
        <f>IF($AA26=0,"",INDEX('13 - DATA &amp; LISTS'!$Z$30:$Z$436,$AA26))</f>
        <v>Flow</v>
      </c>
      <c r="C26" s="10" t="str">
        <f>IF($AA26=0,"",INDEX('13 - DATA &amp; LISTS'!$AA$30:$AA$436,$AA26))</f>
        <v>H-02</v>
      </c>
      <c r="D26" s="10" t="str">
        <f>IF($AA26=0,"",INDEX('13 - DATA &amp; LISTS'!$AB$30:$AB$436,$AA26))</f>
        <v>Acceptance queue growing across reviews</v>
      </c>
      <c r="E26" s="10" t="str">
        <f>IF($AA26=0,"",INDEX('13 - DATA &amp; LISTS'!$AC$30:$AC$436,$AA26))</f>
        <v/>
      </c>
      <c r="F26" s="10" t="str">
        <f>IF($AA26=0,"",INDEX('13 - DATA &amp; LISTS'!$AD$30:$AD$436,$AA26))</f>
        <v>Limit new starts</v>
      </c>
      <c r="G26" s="10" t="str">
        <f>IF($AA26=0,"",INDEX('13 - DATA &amp; LISTS'!$AE$30:$AE$436,$AA26))</f>
        <v>Delivery lead</v>
      </c>
      <c r="H26" s="12">
        <f>IF($AA26=0,"",INDEX('13 - DATA &amp; LISTS'!$AF$30:$AF$436,$AA26))</f>
        <v>46290</v>
      </c>
      <c r="I26" s="10" t="str">
        <f>IF($AA26=0,"",INDEX('13 - DATA &amp; LISTS'!$AG$30:$AG$436,$AA26))</f>
        <v>Release or outcome claim remains constrained</v>
      </c>
      <c r="J26" s="10" t="str">
        <f>IF($AA26=0,"",INDEX('13 - DATA &amp; LISTS'!$AH$30:$AH$436,$AA26))</f>
        <v>Atlas review 24 Sep</v>
      </c>
      <c r="K26" s="10" t="str">
        <f>IF($AA26=0,"",INDEX('13 - DATA &amp; LISTS'!$AI$30:$AI$436,$AA26))</f>
        <v>Watch</v>
      </c>
      <c r="AA26">
        <f>IF(COUNTIF('13 - DATA &amp; LISTS'!$AK$30:$AK$436,"&lt;999999999999")&lt;18,0,MATCH(SMALL('13 - DATA &amp; LISTS'!$AK$30:$AK$436,18),'13 - DATA &amp; LISTS'!$AK$30:$AK$436,0))</f>
        <v>2</v>
      </c>
    </row>
    <row r="27" spans="1:27" ht="63.95" customHeight="1">
      <c r="A27" s="10" t="str">
        <f>IF($AA27=0,"",INDEX('13 - DATA &amp; LISTS'!$Y$30:$Y$436,$AA27))</f>
        <v>Routine</v>
      </c>
      <c r="B27" s="10" t="str">
        <f>IF($AA27=0,"",INDEX('13 - DATA &amp; LISTS'!$Z$30:$Z$436,$AA27))</f>
        <v>Recovery</v>
      </c>
      <c r="C27" s="10" t="str">
        <f>IF($AA27=0,"",INDEX('13 - DATA &amp; LISTS'!$AA$30:$AA$436,$AA27))</f>
        <v>REC-01</v>
      </c>
      <c r="D27" s="10" t="str">
        <f>IF($AA27=0,"",INDEX('13 - DATA &amp; LISTS'!$AB$30:$AB$436,$AA27))</f>
        <v>Connectivity and decision deterioration</v>
      </c>
      <c r="E27" s="10" t="str">
        <f>IF($AA27=0,"",INDEX('13 - DATA &amp; LISTS'!$AC$30:$AC$436,$AA27))</f>
        <v/>
      </c>
      <c r="F27" s="10" t="str">
        <f>IF($AA27=0,"",INDEX('13 - DATA &amp; LISTS'!$AD$30:$AD$436,$AA27))</f>
        <v>Test the intervention, sustained change and displaced risk.</v>
      </c>
      <c r="G27" s="10" t="str">
        <f>IF($AA27=0,"",INDEX('13 - DATA &amp; LISTS'!$AE$30:$AE$436,$AA27))</f>
        <v>Programme manager</v>
      </c>
      <c r="H27" s="12">
        <f>IF($AA27=0,"",INDEX('13 - DATA &amp; LISTS'!$AF$30:$AF$436,$AA27))</f>
        <v>46291</v>
      </c>
      <c r="I27" s="10" t="str">
        <f>IF($AA27=0,"",INDEX('13 - DATA &amp; LISTS'!$AG$30:$AG$436,$AA27))</f>
        <v>Cutover slot and remaining cost exposure</v>
      </c>
      <c r="J27" s="10" t="str">
        <f>IF($AA27=0,"",INDEX('13 - DATA &amp; LISTS'!$AH$30:$AH$436,$AA27))</f>
        <v>Accepted production path and operator-led rehearsal</v>
      </c>
      <c r="K27" s="10" t="str">
        <f>IF($AA27=0,"",INDEX('13 - DATA &amp; LISTS'!$AI$30:$AI$436,$AA27))</f>
        <v>In progress</v>
      </c>
      <c r="AA27">
        <f>IF(COUNTIF('13 - DATA &amp; LISTS'!$AK$30:$AK$436,"&lt;999999999999")&lt;19,0,MATCH(SMALL('13 - DATA &amp; LISTS'!$AK$30:$AK$436,19),'13 - DATA &amp; LISTS'!$AK$30:$AK$436,0))</f>
        <v>308</v>
      </c>
    </row>
    <row r="28" spans="1:27" ht="63.95" customHeight="1">
      <c r="A28" s="10" t="str">
        <f>IF($AA28=0,"",INDEX('13 - DATA &amp; LISTS'!$Y$30:$Y$436,$AA28))</f>
        <v>Routine</v>
      </c>
      <c r="B28" s="10" t="str">
        <f>IF($AA28=0,"",INDEX('13 - DATA &amp; LISTS'!$Z$30:$Z$436,$AA28))</f>
        <v>Value</v>
      </c>
      <c r="C28" s="10" t="str">
        <f>IF($AA28=0,"",INDEX('13 - DATA &amp; LISTS'!$AA$30:$AA$436,$AA28))</f>
        <v>H-01</v>
      </c>
      <c r="D28" s="10" t="str">
        <f>IF($AA28=0,"",INDEX('13 - DATA &amp; LISTS'!$AB$30:$AB$436,$AA28))</f>
        <v>Need reconfirmed 22 Sep; remaining cost open</v>
      </c>
      <c r="E28" s="10" t="str">
        <f>IF($AA28=0,"",INDEX('13 - DATA &amp; LISTS'!$AC$30:$AC$436,$AA28))</f>
        <v/>
      </c>
      <c r="F28" s="10" t="str">
        <f>IF($AA28=0,"",INDEX('13 - DATA &amp; LISTS'!$AD$30:$AD$436,$AA28))</f>
        <v>Validate remaining cost</v>
      </c>
      <c r="G28" s="10" t="str">
        <f>IF($AA28=0,"",INDEX('13 - DATA &amp; LISTS'!$AE$30:$AE$436,$AA28))</f>
        <v>Sponsor</v>
      </c>
      <c r="H28" s="12">
        <f>IF($AA28=0,"",INDEX('13 - DATA &amp; LISTS'!$AF$30:$AF$436,$AA28))</f>
        <v>46293</v>
      </c>
      <c r="I28" s="10" t="str">
        <f>IF($AA28=0,"",INDEX('13 - DATA &amp; LISTS'!$AG$30:$AG$436,$AA28))</f>
        <v>Continuing value not fully evidenced</v>
      </c>
      <c r="J28" s="10" t="str">
        <f>IF($AA28=0,"",INDEX('13 - DATA &amp; LISTS'!$AH$30:$AH$436,$AA28))</f>
        <v>Atlas review 24 Sep</v>
      </c>
      <c r="K28" s="10" t="str">
        <f>IF($AA28=0,"",INDEX('13 - DATA &amp; LISTS'!$AI$30:$AI$436,$AA28))</f>
        <v>Within tolerance</v>
      </c>
      <c r="AA28">
        <f>IF(COUNTIF('13 - DATA &amp; LISTS'!$AK$30:$AK$436,"&lt;999999999999")&lt;20,0,MATCH(SMALL('13 - DATA &amp; LISTS'!$AK$30:$AK$436,20),'13 - DATA &amp; LISTS'!$AK$30:$AK$436,0))</f>
        <v>1</v>
      </c>
    </row>
    <row r="29" spans="1:27" ht="63.95" customHeight="1">
      <c r="A29" s="10" t="str">
        <f>IF($AA29=0,"",INDEX('13 - DATA &amp; LISTS'!$Y$30:$Y$436,$AA29))</f>
        <v>Routine</v>
      </c>
      <c r="B29" s="10" t="str">
        <f>IF($AA29=0,"",INDEX('13 - DATA &amp; LISTS'!$Z$30:$Z$436,$AA29))</f>
        <v>Readiness</v>
      </c>
      <c r="C29" s="10" t="str">
        <f>IF($AA29=0,"",INDEX('13 - DATA &amp; LISTS'!$AA$30:$AA$436,$AA29))</f>
        <v>H-06</v>
      </c>
      <c r="D29" s="10" t="str">
        <f>IF($AA29=0,"",INDEX('13 - DATA &amp; LISTS'!$AB$30:$AB$436,$AA29))</f>
        <v>On-call access unverified</v>
      </c>
      <c r="E29" s="10" t="str">
        <f>IF($AA29=0,"",INDEX('13 - DATA &amp; LISTS'!$AC$30:$AC$436,$AA29))</f>
        <v/>
      </c>
      <c r="F29" s="10" t="str">
        <f>IF($AA29=0,"",INDEX('13 - DATA &amp; LISTS'!$AD$30:$AD$436,$AA29))</f>
        <v>Rehearse operator access</v>
      </c>
      <c r="G29" s="10" t="str">
        <f>IF($AA29=0,"",INDEX('13 - DATA &amp; LISTS'!$AE$30:$AE$436,$AA29))</f>
        <v>Service owner</v>
      </c>
      <c r="H29" s="12">
        <f>IF($AA29=0,"",INDEX('13 - DATA &amp; LISTS'!$AF$30:$AF$436,$AA29))</f>
        <v>46293</v>
      </c>
      <c r="I29" s="10" t="str">
        <f>IF($AA29=0,"",INDEX('13 - DATA &amp; LISTS'!$AG$30:$AG$436,$AA29))</f>
        <v>Release or outcome claim remains constrained</v>
      </c>
      <c r="J29" s="10" t="str">
        <f>IF($AA29=0,"",INDEX('13 - DATA &amp; LISTS'!$AH$30:$AH$436,$AA29))</f>
        <v>R-04</v>
      </c>
      <c r="K29" s="10" t="str">
        <f>IF($AA29=0,"",INDEX('13 - DATA &amp; LISTS'!$AI$30:$AI$436,$AA29))</f>
        <v>Watch</v>
      </c>
      <c r="AA29">
        <f>IF(COUNTIF('13 - DATA &amp; LISTS'!$AK$30:$AK$436,"&lt;999999999999")&lt;21,0,MATCH(SMALL('13 - DATA &amp; LISTS'!$AK$30:$AK$436,21),'13 - DATA &amp; LISTS'!$AK$30:$AK$436,0))</f>
        <v>6</v>
      </c>
    </row>
    <row r="30" spans="1:27" ht="63.95" customHeight="1">
      <c r="A30" s="10" t="str">
        <f>IF($AA30=0,"",INDEX('13 - DATA &amp; LISTS'!$Y$30:$Y$436,$AA30))</f>
        <v>Routine</v>
      </c>
      <c r="B30" s="10" t="str">
        <f>IF($AA30=0,"",INDEX('13 - DATA &amp; LISTS'!$Z$30:$Z$436,$AA30))</f>
        <v>Adoption</v>
      </c>
      <c r="C30" s="10" t="str">
        <f>IF($AA30=0,"",INDEX('13 - DATA &amp; LISTS'!$AA$30:$AA$436,$AA30))</f>
        <v>H-07</v>
      </c>
      <c r="D30" s="10" t="str">
        <f>IF($AA30=0,"",INDEX('13 - DATA &amp; LISTS'!$AB$30:$AB$436,$AA30))</f>
        <v>Eligible-user denominator missing</v>
      </c>
      <c r="E30" s="10" t="str">
        <f>IF($AA30=0,"",INDEX('13 - DATA &amp; LISTS'!$AC$30:$AC$436,$AA30))</f>
        <v/>
      </c>
      <c r="F30" s="10" t="str">
        <f>IF($AA30=0,"",INDEX('13 - DATA &amp; LISTS'!$AD$30:$AD$436,$AA30))</f>
        <v>Establish cohort</v>
      </c>
      <c r="G30" s="10" t="str">
        <f>IF($AA30=0,"",INDEX('13 - DATA &amp; LISTS'!$AE$30:$AE$436,$AA30))</f>
        <v>Business owner</v>
      </c>
      <c r="H30" s="12">
        <f>IF($AA30=0,"",INDEX('13 - DATA &amp; LISTS'!$AF$30:$AF$436,$AA30))</f>
        <v>46295</v>
      </c>
      <c r="I30" s="10" t="str">
        <f>IF($AA30=0,"",INDEX('13 - DATA &amp; LISTS'!$AG$30:$AG$436,$AA30))</f>
        <v>Release or outcome claim remains constrained</v>
      </c>
      <c r="J30" s="10" t="str">
        <f>IF($AA30=0,"",INDEX('13 - DATA &amp; LISTS'!$AH$30:$AH$436,$AA30))</f>
        <v>Atlas review 24 Sep</v>
      </c>
      <c r="K30" s="10" t="str">
        <f>IF($AA30=0,"",INDEX('13 - DATA &amp; LISTS'!$AI$30:$AI$436,$AA30))</f>
        <v>Watch</v>
      </c>
      <c r="AA30">
        <f>IF(COUNTIF('13 - DATA &amp; LISTS'!$AK$30:$AK$436,"&lt;999999999999")&lt;22,0,MATCH(SMALL('13 - DATA &amp; LISTS'!$AK$30:$AK$436,22),'13 - DATA &amp; LISTS'!$AK$30:$AK$436,0))</f>
        <v>7</v>
      </c>
    </row>
    <row r="31" spans="1:27" ht="63.95" customHeight="1">
      <c r="A31" s="10" t="str">
        <f>IF($AA31=0,"",INDEX('13 - DATA &amp; LISTS'!$Y$30:$Y$436,$AA31))</f>
        <v/>
      </c>
      <c r="B31" s="10" t="str">
        <f>IF($AA31=0,"",INDEX('13 - DATA &amp; LISTS'!$Z$30:$Z$436,$AA31))</f>
        <v/>
      </c>
      <c r="C31" s="10" t="str">
        <f>IF($AA31=0,"",INDEX('13 - DATA &amp; LISTS'!$AA$30:$AA$436,$AA31))</f>
        <v/>
      </c>
      <c r="D31" s="10" t="str">
        <f>IF($AA31=0,"",INDEX('13 - DATA &amp; LISTS'!$AB$30:$AB$436,$AA31))</f>
        <v/>
      </c>
      <c r="E31" s="10" t="str">
        <f>IF($AA31=0,"",INDEX('13 - DATA &amp; LISTS'!$AC$30:$AC$436,$AA31))</f>
        <v/>
      </c>
      <c r="F31" s="10" t="str">
        <f>IF($AA31=0,"",INDEX('13 - DATA &amp; LISTS'!$AD$30:$AD$436,$AA31))</f>
        <v/>
      </c>
      <c r="G31" s="10" t="str">
        <f>IF($AA31=0,"",INDEX('13 - DATA &amp; LISTS'!$AE$30:$AE$436,$AA31))</f>
        <v/>
      </c>
      <c r="H31" s="12" t="str">
        <f>IF($AA31=0,"",INDEX('13 - DATA &amp; LISTS'!$AF$30:$AF$436,$AA31))</f>
        <v/>
      </c>
      <c r="I31" s="10" t="str">
        <f>IF($AA31=0,"",INDEX('13 - DATA &amp; LISTS'!$AG$30:$AG$436,$AA31))</f>
        <v/>
      </c>
      <c r="J31" s="10" t="str">
        <f>IF($AA31=0,"",INDEX('13 - DATA &amp; LISTS'!$AH$30:$AH$436,$AA31))</f>
        <v/>
      </c>
      <c r="K31" s="10" t="str">
        <f>IF($AA31=0,"",INDEX('13 - DATA &amp; LISTS'!$AI$30:$AI$436,$AA31))</f>
        <v/>
      </c>
      <c r="AA31">
        <f>IF(COUNTIF('13 - DATA &amp; LISTS'!$AK$30:$AK$436,"&lt;999999999999")&lt;23,0,MATCH(SMALL('13 - DATA &amp; LISTS'!$AK$30:$AK$436,23),'13 - DATA &amp; LISTS'!$AK$30:$AK$436,0))</f>
        <v>0</v>
      </c>
    </row>
    <row r="32" spans="1:27" ht="63.95" customHeight="1">
      <c r="A32" s="10" t="str">
        <f>IF($AA32=0,"",INDEX('13 - DATA &amp; LISTS'!$Y$30:$Y$436,$AA32))</f>
        <v/>
      </c>
      <c r="B32" s="10" t="str">
        <f>IF($AA32=0,"",INDEX('13 - DATA &amp; LISTS'!$Z$30:$Z$436,$AA32))</f>
        <v/>
      </c>
      <c r="C32" s="10" t="str">
        <f>IF($AA32=0,"",INDEX('13 - DATA &amp; LISTS'!$AA$30:$AA$436,$AA32))</f>
        <v/>
      </c>
      <c r="D32" s="10" t="str">
        <f>IF($AA32=0,"",INDEX('13 - DATA &amp; LISTS'!$AB$30:$AB$436,$AA32))</f>
        <v/>
      </c>
      <c r="E32" s="10" t="str">
        <f>IF($AA32=0,"",INDEX('13 - DATA &amp; LISTS'!$AC$30:$AC$436,$AA32))</f>
        <v/>
      </c>
      <c r="F32" s="10" t="str">
        <f>IF($AA32=0,"",INDEX('13 - DATA &amp; LISTS'!$AD$30:$AD$436,$AA32))</f>
        <v/>
      </c>
      <c r="G32" s="10" t="str">
        <f>IF($AA32=0,"",INDEX('13 - DATA &amp; LISTS'!$AE$30:$AE$436,$AA32))</f>
        <v/>
      </c>
      <c r="H32" s="12" t="str">
        <f>IF($AA32=0,"",INDEX('13 - DATA &amp; LISTS'!$AF$30:$AF$436,$AA32))</f>
        <v/>
      </c>
      <c r="I32" s="10" t="str">
        <f>IF($AA32=0,"",INDEX('13 - DATA &amp; LISTS'!$AG$30:$AG$436,$AA32))</f>
        <v/>
      </c>
      <c r="J32" s="10" t="str">
        <f>IF($AA32=0,"",INDEX('13 - DATA &amp; LISTS'!$AH$30:$AH$436,$AA32))</f>
        <v/>
      </c>
      <c r="K32" s="10" t="str">
        <f>IF($AA32=0,"",INDEX('13 - DATA &amp; LISTS'!$AI$30:$AI$436,$AA32))</f>
        <v/>
      </c>
      <c r="AA32">
        <f>IF(COUNTIF('13 - DATA &amp; LISTS'!$AK$30:$AK$436,"&lt;999999999999")&lt;24,0,MATCH(SMALL('13 - DATA &amp; LISTS'!$AK$30:$AK$436,24),'13 - DATA &amp; LISTS'!$AK$30:$AK$436,0))</f>
        <v>0</v>
      </c>
    </row>
    <row r="33" spans="1:27" ht="63.95" customHeight="1">
      <c r="A33" s="10" t="str">
        <f>IF($AA33=0,"",INDEX('13 - DATA &amp; LISTS'!$Y$30:$Y$436,$AA33))</f>
        <v/>
      </c>
      <c r="B33" s="10" t="str">
        <f>IF($AA33=0,"",INDEX('13 - DATA &amp; LISTS'!$Z$30:$Z$436,$AA33))</f>
        <v/>
      </c>
      <c r="C33" s="10" t="str">
        <f>IF($AA33=0,"",INDEX('13 - DATA &amp; LISTS'!$AA$30:$AA$436,$AA33))</f>
        <v/>
      </c>
      <c r="D33" s="10" t="str">
        <f>IF($AA33=0,"",INDEX('13 - DATA &amp; LISTS'!$AB$30:$AB$436,$AA33))</f>
        <v/>
      </c>
      <c r="E33" s="10" t="str">
        <f>IF($AA33=0,"",INDEX('13 - DATA &amp; LISTS'!$AC$30:$AC$436,$AA33))</f>
        <v/>
      </c>
      <c r="F33" s="10" t="str">
        <f>IF($AA33=0,"",INDEX('13 - DATA &amp; LISTS'!$AD$30:$AD$436,$AA33))</f>
        <v/>
      </c>
      <c r="G33" s="10" t="str">
        <f>IF($AA33=0,"",INDEX('13 - DATA &amp; LISTS'!$AE$30:$AE$436,$AA33))</f>
        <v/>
      </c>
      <c r="H33" s="12" t="str">
        <f>IF($AA33=0,"",INDEX('13 - DATA &amp; LISTS'!$AF$30:$AF$436,$AA33))</f>
        <v/>
      </c>
      <c r="I33" s="10" t="str">
        <f>IF($AA33=0,"",INDEX('13 - DATA &amp; LISTS'!$AG$30:$AG$436,$AA33))</f>
        <v/>
      </c>
      <c r="J33" s="10" t="str">
        <f>IF($AA33=0,"",INDEX('13 - DATA &amp; LISTS'!$AH$30:$AH$436,$AA33))</f>
        <v/>
      </c>
      <c r="K33" s="10" t="str">
        <f>IF($AA33=0,"",INDEX('13 - DATA &amp; LISTS'!$AI$30:$AI$436,$AA33))</f>
        <v/>
      </c>
      <c r="AA33">
        <f>IF(COUNTIF('13 - DATA &amp; LISTS'!$AK$30:$AK$436,"&lt;999999999999")&lt;25,0,MATCH(SMALL('13 - DATA &amp; LISTS'!$AK$30:$AK$436,25),'13 - DATA &amp; LISTS'!$AK$30:$AK$436,0))</f>
        <v>0</v>
      </c>
    </row>
    <row r="34" spans="1:27" ht="63.95" customHeight="1">
      <c r="A34" s="10" t="str">
        <f>IF($AA34=0,"",INDEX('13 - DATA &amp; LISTS'!$Y$30:$Y$436,$AA34))</f>
        <v/>
      </c>
      <c r="B34" s="10" t="str">
        <f>IF($AA34=0,"",INDEX('13 - DATA &amp; LISTS'!$Z$30:$Z$436,$AA34))</f>
        <v/>
      </c>
      <c r="C34" s="10" t="str">
        <f>IF($AA34=0,"",INDEX('13 - DATA &amp; LISTS'!$AA$30:$AA$436,$AA34))</f>
        <v/>
      </c>
      <c r="D34" s="10" t="str">
        <f>IF($AA34=0,"",INDEX('13 - DATA &amp; LISTS'!$AB$30:$AB$436,$AA34))</f>
        <v/>
      </c>
      <c r="E34" s="10" t="str">
        <f>IF($AA34=0,"",INDEX('13 - DATA &amp; LISTS'!$AC$30:$AC$436,$AA34))</f>
        <v/>
      </c>
      <c r="F34" s="10" t="str">
        <f>IF($AA34=0,"",INDEX('13 - DATA &amp; LISTS'!$AD$30:$AD$436,$AA34))</f>
        <v/>
      </c>
      <c r="G34" s="10" t="str">
        <f>IF($AA34=0,"",INDEX('13 - DATA &amp; LISTS'!$AE$30:$AE$436,$AA34))</f>
        <v/>
      </c>
      <c r="H34" s="12" t="str">
        <f>IF($AA34=0,"",INDEX('13 - DATA &amp; LISTS'!$AF$30:$AF$436,$AA34))</f>
        <v/>
      </c>
      <c r="I34" s="10" t="str">
        <f>IF($AA34=0,"",INDEX('13 - DATA &amp; LISTS'!$AG$30:$AG$436,$AA34))</f>
        <v/>
      </c>
      <c r="J34" s="10" t="str">
        <f>IF($AA34=0,"",INDEX('13 - DATA &amp; LISTS'!$AH$30:$AH$436,$AA34))</f>
        <v/>
      </c>
      <c r="K34" s="10" t="str">
        <f>IF($AA34=0,"",INDEX('13 - DATA &amp; LISTS'!$AI$30:$AI$436,$AA34))</f>
        <v/>
      </c>
      <c r="AA34">
        <f>IF(COUNTIF('13 - DATA &amp; LISTS'!$AK$30:$AK$436,"&lt;999999999999")&lt;26,0,MATCH(SMALL('13 - DATA &amp; LISTS'!$AK$30:$AK$436,26),'13 - DATA &amp; LISTS'!$AK$30:$AK$436,0))</f>
        <v>0</v>
      </c>
    </row>
    <row r="35" spans="1:27" ht="63.95" customHeight="1">
      <c r="A35" s="10" t="str">
        <f>IF($AA35=0,"",INDEX('13 - DATA &amp; LISTS'!$Y$30:$Y$436,$AA35))</f>
        <v/>
      </c>
      <c r="B35" s="10" t="str">
        <f>IF($AA35=0,"",INDEX('13 - DATA &amp; LISTS'!$Z$30:$Z$436,$AA35))</f>
        <v/>
      </c>
      <c r="C35" s="10" t="str">
        <f>IF($AA35=0,"",INDEX('13 - DATA &amp; LISTS'!$AA$30:$AA$436,$AA35))</f>
        <v/>
      </c>
      <c r="D35" s="10" t="str">
        <f>IF($AA35=0,"",INDEX('13 - DATA &amp; LISTS'!$AB$30:$AB$436,$AA35))</f>
        <v/>
      </c>
      <c r="E35" s="10" t="str">
        <f>IF($AA35=0,"",INDEX('13 - DATA &amp; LISTS'!$AC$30:$AC$436,$AA35))</f>
        <v/>
      </c>
      <c r="F35" s="10" t="str">
        <f>IF($AA35=0,"",INDEX('13 - DATA &amp; LISTS'!$AD$30:$AD$436,$AA35))</f>
        <v/>
      </c>
      <c r="G35" s="10" t="str">
        <f>IF($AA35=0,"",INDEX('13 - DATA &amp; LISTS'!$AE$30:$AE$436,$AA35))</f>
        <v/>
      </c>
      <c r="H35" s="12" t="str">
        <f>IF($AA35=0,"",INDEX('13 - DATA &amp; LISTS'!$AF$30:$AF$436,$AA35))</f>
        <v/>
      </c>
      <c r="I35" s="10" t="str">
        <f>IF($AA35=0,"",INDEX('13 - DATA &amp; LISTS'!$AG$30:$AG$436,$AA35))</f>
        <v/>
      </c>
      <c r="J35" s="10" t="str">
        <f>IF($AA35=0,"",INDEX('13 - DATA &amp; LISTS'!$AH$30:$AH$436,$AA35))</f>
        <v/>
      </c>
      <c r="K35" s="10" t="str">
        <f>IF($AA35=0,"",INDEX('13 - DATA &amp; LISTS'!$AI$30:$AI$436,$AA35))</f>
        <v/>
      </c>
      <c r="AA35">
        <f>IF(COUNTIF('13 - DATA &amp; LISTS'!$AK$30:$AK$436,"&lt;999999999999")&lt;27,0,MATCH(SMALL('13 - DATA &amp; LISTS'!$AK$30:$AK$436,27),'13 - DATA &amp; LISTS'!$AK$30:$AK$436,0))</f>
        <v>0</v>
      </c>
    </row>
    <row r="36" spans="1:27" ht="63.95" customHeight="1">
      <c r="A36" s="10" t="str">
        <f>IF($AA36=0,"",INDEX('13 - DATA &amp; LISTS'!$Y$30:$Y$436,$AA36))</f>
        <v/>
      </c>
      <c r="B36" s="10" t="str">
        <f>IF($AA36=0,"",INDEX('13 - DATA &amp; LISTS'!$Z$30:$Z$436,$AA36))</f>
        <v/>
      </c>
      <c r="C36" s="10" t="str">
        <f>IF($AA36=0,"",INDEX('13 - DATA &amp; LISTS'!$AA$30:$AA$436,$AA36))</f>
        <v/>
      </c>
      <c r="D36" s="10" t="str">
        <f>IF($AA36=0,"",INDEX('13 - DATA &amp; LISTS'!$AB$30:$AB$436,$AA36))</f>
        <v/>
      </c>
      <c r="E36" s="10" t="str">
        <f>IF($AA36=0,"",INDEX('13 - DATA &amp; LISTS'!$AC$30:$AC$436,$AA36))</f>
        <v/>
      </c>
      <c r="F36" s="10" t="str">
        <f>IF($AA36=0,"",INDEX('13 - DATA &amp; LISTS'!$AD$30:$AD$436,$AA36))</f>
        <v/>
      </c>
      <c r="G36" s="10" t="str">
        <f>IF($AA36=0,"",INDEX('13 - DATA &amp; LISTS'!$AE$30:$AE$436,$AA36))</f>
        <v/>
      </c>
      <c r="H36" s="12" t="str">
        <f>IF($AA36=0,"",INDEX('13 - DATA &amp; LISTS'!$AF$30:$AF$436,$AA36))</f>
        <v/>
      </c>
      <c r="I36" s="10" t="str">
        <f>IF($AA36=0,"",INDEX('13 - DATA &amp; LISTS'!$AG$30:$AG$436,$AA36))</f>
        <v/>
      </c>
      <c r="J36" s="10" t="str">
        <f>IF($AA36=0,"",INDEX('13 - DATA &amp; LISTS'!$AH$30:$AH$436,$AA36))</f>
        <v/>
      </c>
      <c r="K36" s="10" t="str">
        <f>IF($AA36=0,"",INDEX('13 - DATA &amp; LISTS'!$AI$30:$AI$436,$AA36))</f>
        <v/>
      </c>
      <c r="AA36">
        <f>IF(COUNTIF('13 - DATA &amp; LISTS'!$AK$30:$AK$436,"&lt;999999999999")&lt;28,0,MATCH(SMALL('13 - DATA &amp; LISTS'!$AK$30:$AK$436,28),'13 - DATA &amp; LISTS'!$AK$30:$AK$436,0))</f>
        <v>0</v>
      </c>
    </row>
    <row r="37" spans="1:27" ht="63.95" customHeight="1">
      <c r="A37" s="10" t="str">
        <f>IF($AA37=0,"",INDEX('13 - DATA &amp; LISTS'!$Y$30:$Y$436,$AA37))</f>
        <v/>
      </c>
      <c r="B37" s="10" t="str">
        <f>IF($AA37=0,"",INDEX('13 - DATA &amp; LISTS'!$Z$30:$Z$436,$AA37))</f>
        <v/>
      </c>
      <c r="C37" s="10" t="str">
        <f>IF($AA37=0,"",INDEX('13 - DATA &amp; LISTS'!$AA$30:$AA$436,$AA37))</f>
        <v/>
      </c>
      <c r="D37" s="10" t="str">
        <f>IF($AA37=0,"",INDEX('13 - DATA &amp; LISTS'!$AB$30:$AB$436,$AA37))</f>
        <v/>
      </c>
      <c r="E37" s="10" t="str">
        <f>IF($AA37=0,"",INDEX('13 - DATA &amp; LISTS'!$AC$30:$AC$436,$AA37))</f>
        <v/>
      </c>
      <c r="F37" s="10" t="str">
        <f>IF($AA37=0,"",INDEX('13 - DATA &amp; LISTS'!$AD$30:$AD$436,$AA37))</f>
        <v/>
      </c>
      <c r="G37" s="10" t="str">
        <f>IF($AA37=0,"",INDEX('13 - DATA &amp; LISTS'!$AE$30:$AE$436,$AA37))</f>
        <v/>
      </c>
      <c r="H37" s="12" t="str">
        <f>IF($AA37=0,"",INDEX('13 - DATA &amp; LISTS'!$AF$30:$AF$436,$AA37))</f>
        <v/>
      </c>
      <c r="I37" s="10" t="str">
        <f>IF($AA37=0,"",INDEX('13 - DATA &amp; LISTS'!$AG$30:$AG$436,$AA37))</f>
        <v/>
      </c>
      <c r="J37" s="10" t="str">
        <f>IF($AA37=0,"",INDEX('13 - DATA &amp; LISTS'!$AH$30:$AH$436,$AA37))</f>
        <v/>
      </c>
      <c r="K37" s="10" t="str">
        <f>IF($AA37=0,"",INDEX('13 - DATA &amp; LISTS'!$AI$30:$AI$436,$AA37))</f>
        <v/>
      </c>
      <c r="AA37">
        <f>IF(COUNTIF('13 - DATA &amp; LISTS'!$AK$30:$AK$436,"&lt;999999999999")&lt;29,0,MATCH(SMALL('13 - DATA &amp; LISTS'!$AK$30:$AK$436,29),'13 - DATA &amp; LISTS'!$AK$30:$AK$436,0))</f>
        <v>0</v>
      </c>
    </row>
    <row r="38" spans="1:27" ht="63.95" customHeight="1">
      <c r="A38" s="10" t="str">
        <f>IF($AA38=0,"",INDEX('13 - DATA &amp; LISTS'!$Y$30:$Y$436,$AA38))</f>
        <v/>
      </c>
      <c r="B38" s="10" t="str">
        <f>IF($AA38=0,"",INDEX('13 - DATA &amp; LISTS'!$Z$30:$Z$436,$AA38))</f>
        <v/>
      </c>
      <c r="C38" s="10" t="str">
        <f>IF($AA38=0,"",INDEX('13 - DATA &amp; LISTS'!$AA$30:$AA$436,$AA38))</f>
        <v/>
      </c>
      <c r="D38" s="10" t="str">
        <f>IF($AA38=0,"",INDEX('13 - DATA &amp; LISTS'!$AB$30:$AB$436,$AA38))</f>
        <v/>
      </c>
      <c r="E38" s="10" t="str">
        <f>IF($AA38=0,"",INDEX('13 - DATA &amp; LISTS'!$AC$30:$AC$436,$AA38))</f>
        <v/>
      </c>
      <c r="F38" s="10" t="str">
        <f>IF($AA38=0,"",INDEX('13 - DATA &amp; LISTS'!$AD$30:$AD$436,$AA38))</f>
        <v/>
      </c>
      <c r="G38" s="10" t="str">
        <f>IF($AA38=0,"",INDEX('13 - DATA &amp; LISTS'!$AE$30:$AE$436,$AA38))</f>
        <v/>
      </c>
      <c r="H38" s="12" t="str">
        <f>IF($AA38=0,"",INDEX('13 - DATA &amp; LISTS'!$AF$30:$AF$436,$AA38))</f>
        <v/>
      </c>
      <c r="I38" s="10" t="str">
        <f>IF($AA38=0,"",INDEX('13 - DATA &amp; LISTS'!$AG$30:$AG$436,$AA38))</f>
        <v/>
      </c>
      <c r="J38" s="10" t="str">
        <f>IF($AA38=0,"",INDEX('13 - DATA &amp; LISTS'!$AH$30:$AH$436,$AA38))</f>
        <v/>
      </c>
      <c r="K38" s="10" t="str">
        <f>IF($AA38=0,"",INDEX('13 - DATA &amp; LISTS'!$AI$30:$AI$436,$AA38))</f>
        <v/>
      </c>
      <c r="AA38">
        <f>IF(COUNTIF('13 - DATA &amp; LISTS'!$AK$30:$AK$436,"&lt;999999999999")&lt;30,0,MATCH(SMALL('13 - DATA &amp; LISTS'!$AK$30:$AK$436,30),'13 - DATA &amp; LISTS'!$AK$30:$AK$436,0))</f>
        <v>0</v>
      </c>
    </row>
    <row r="39" spans="1:27" ht="63.95" customHeight="1">
      <c r="A39" s="10" t="str">
        <f>IF($AA39=0,"",INDEX('13 - DATA &amp; LISTS'!$Y$30:$Y$436,$AA39))</f>
        <v/>
      </c>
      <c r="B39" s="10" t="str">
        <f>IF($AA39=0,"",INDEX('13 - DATA &amp; LISTS'!$Z$30:$Z$436,$AA39))</f>
        <v/>
      </c>
      <c r="C39" s="10" t="str">
        <f>IF($AA39=0,"",INDEX('13 - DATA &amp; LISTS'!$AA$30:$AA$436,$AA39))</f>
        <v/>
      </c>
      <c r="D39" s="10" t="str">
        <f>IF($AA39=0,"",INDEX('13 - DATA &amp; LISTS'!$AB$30:$AB$436,$AA39))</f>
        <v/>
      </c>
      <c r="E39" s="10" t="str">
        <f>IF($AA39=0,"",INDEX('13 - DATA &amp; LISTS'!$AC$30:$AC$436,$AA39))</f>
        <v/>
      </c>
      <c r="F39" s="10" t="str">
        <f>IF($AA39=0,"",INDEX('13 - DATA &amp; LISTS'!$AD$30:$AD$436,$AA39))</f>
        <v/>
      </c>
      <c r="G39" s="10" t="str">
        <f>IF($AA39=0,"",INDEX('13 - DATA &amp; LISTS'!$AE$30:$AE$436,$AA39))</f>
        <v/>
      </c>
      <c r="H39" s="12" t="str">
        <f>IF($AA39=0,"",INDEX('13 - DATA &amp; LISTS'!$AF$30:$AF$436,$AA39))</f>
        <v/>
      </c>
      <c r="I39" s="10" t="str">
        <f>IF($AA39=0,"",INDEX('13 - DATA &amp; LISTS'!$AG$30:$AG$436,$AA39))</f>
        <v/>
      </c>
      <c r="J39" s="10" t="str">
        <f>IF($AA39=0,"",INDEX('13 - DATA &amp; LISTS'!$AH$30:$AH$436,$AA39))</f>
        <v/>
      </c>
      <c r="K39" s="10" t="str">
        <f>IF($AA39=0,"",INDEX('13 - DATA &amp; LISTS'!$AI$30:$AI$436,$AA39))</f>
        <v/>
      </c>
      <c r="AA39">
        <f>IF(COUNTIF('13 - DATA &amp; LISTS'!$AK$30:$AK$436,"&lt;999999999999")&lt;31,0,MATCH(SMALL('13 - DATA &amp; LISTS'!$AK$30:$AK$436,31),'13 - DATA &amp; LISTS'!$AK$30:$AK$436,0))</f>
        <v>0</v>
      </c>
    </row>
    <row r="40" spans="1:27" ht="63.95" customHeight="1">
      <c r="A40" s="10" t="str">
        <f>IF($AA40=0,"",INDEX('13 - DATA &amp; LISTS'!$Y$30:$Y$436,$AA40))</f>
        <v/>
      </c>
      <c r="B40" s="10" t="str">
        <f>IF($AA40=0,"",INDEX('13 - DATA &amp; LISTS'!$Z$30:$Z$436,$AA40))</f>
        <v/>
      </c>
      <c r="C40" s="10" t="str">
        <f>IF($AA40=0,"",INDEX('13 - DATA &amp; LISTS'!$AA$30:$AA$436,$AA40))</f>
        <v/>
      </c>
      <c r="D40" s="10" t="str">
        <f>IF($AA40=0,"",INDEX('13 - DATA &amp; LISTS'!$AB$30:$AB$436,$AA40))</f>
        <v/>
      </c>
      <c r="E40" s="10" t="str">
        <f>IF($AA40=0,"",INDEX('13 - DATA &amp; LISTS'!$AC$30:$AC$436,$AA40))</f>
        <v/>
      </c>
      <c r="F40" s="10" t="str">
        <f>IF($AA40=0,"",INDEX('13 - DATA &amp; LISTS'!$AD$30:$AD$436,$AA40))</f>
        <v/>
      </c>
      <c r="G40" s="10" t="str">
        <f>IF($AA40=0,"",INDEX('13 - DATA &amp; LISTS'!$AE$30:$AE$436,$AA40))</f>
        <v/>
      </c>
      <c r="H40" s="12" t="str">
        <f>IF($AA40=0,"",INDEX('13 - DATA &amp; LISTS'!$AF$30:$AF$436,$AA40))</f>
        <v/>
      </c>
      <c r="I40" s="10" t="str">
        <f>IF($AA40=0,"",INDEX('13 - DATA &amp; LISTS'!$AG$30:$AG$436,$AA40))</f>
        <v/>
      </c>
      <c r="J40" s="10" t="str">
        <f>IF($AA40=0,"",INDEX('13 - DATA &amp; LISTS'!$AH$30:$AH$436,$AA40))</f>
        <v/>
      </c>
      <c r="K40" s="10" t="str">
        <f>IF($AA40=0,"",INDEX('13 - DATA &amp; LISTS'!$AI$30:$AI$436,$AA40))</f>
        <v/>
      </c>
      <c r="AA40">
        <f>IF(COUNTIF('13 - DATA &amp; LISTS'!$AK$30:$AK$436,"&lt;999999999999")&lt;32,0,MATCH(SMALL('13 - DATA &amp; LISTS'!$AK$30:$AK$436,32),'13 - DATA &amp; LISTS'!$AK$30:$AK$436,0))</f>
        <v>0</v>
      </c>
    </row>
    <row r="41" spans="1:27" ht="63.95" customHeight="1">
      <c r="A41" s="10" t="str">
        <f>IF($AA41=0,"",INDEX('13 - DATA &amp; LISTS'!$Y$30:$Y$436,$AA41))</f>
        <v/>
      </c>
      <c r="B41" s="10" t="str">
        <f>IF($AA41=0,"",INDEX('13 - DATA &amp; LISTS'!$Z$30:$Z$436,$AA41))</f>
        <v/>
      </c>
      <c r="C41" s="10" t="str">
        <f>IF($AA41=0,"",INDEX('13 - DATA &amp; LISTS'!$AA$30:$AA$436,$AA41))</f>
        <v/>
      </c>
      <c r="D41" s="10" t="str">
        <f>IF($AA41=0,"",INDEX('13 - DATA &amp; LISTS'!$AB$30:$AB$436,$AA41))</f>
        <v/>
      </c>
      <c r="E41" s="10" t="str">
        <f>IF($AA41=0,"",INDEX('13 - DATA &amp; LISTS'!$AC$30:$AC$436,$AA41))</f>
        <v/>
      </c>
      <c r="F41" s="10" t="str">
        <f>IF($AA41=0,"",INDEX('13 - DATA &amp; LISTS'!$AD$30:$AD$436,$AA41))</f>
        <v/>
      </c>
      <c r="G41" s="10" t="str">
        <f>IF($AA41=0,"",INDEX('13 - DATA &amp; LISTS'!$AE$30:$AE$436,$AA41))</f>
        <v/>
      </c>
      <c r="H41" s="12" t="str">
        <f>IF($AA41=0,"",INDEX('13 - DATA &amp; LISTS'!$AF$30:$AF$436,$AA41))</f>
        <v/>
      </c>
      <c r="I41" s="10" t="str">
        <f>IF($AA41=0,"",INDEX('13 - DATA &amp; LISTS'!$AG$30:$AG$436,$AA41))</f>
        <v/>
      </c>
      <c r="J41" s="10" t="str">
        <f>IF($AA41=0,"",INDEX('13 - DATA &amp; LISTS'!$AH$30:$AH$436,$AA41))</f>
        <v/>
      </c>
      <c r="K41" s="10" t="str">
        <f>IF($AA41=0,"",INDEX('13 - DATA &amp; LISTS'!$AI$30:$AI$436,$AA41))</f>
        <v/>
      </c>
      <c r="AA41">
        <f>IF(COUNTIF('13 - DATA &amp; LISTS'!$AK$30:$AK$436,"&lt;999999999999")&lt;33,0,MATCH(SMALL('13 - DATA &amp; LISTS'!$AK$30:$AK$436,33),'13 - DATA &amp; LISTS'!$AK$30:$AK$436,0))</f>
        <v>0</v>
      </c>
    </row>
    <row r="42" spans="1:27" ht="63.95" customHeight="1">
      <c r="A42" s="10" t="str">
        <f>IF($AA42=0,"",INDEX('13 - DATA &amp; LISTS'!$Y$30:$Y$436,$AA42))</f>
        <v/>
      </c>
      <c r="B42" s="10" t="str">
        <f>IF($AA42=0,"",INDEX('13 - DATA &amp; LISTS'!$Z$30:$Z$436,$AA42))</f>
        <v/>
      </c>
      <c r="C42" s="10" t="str">
        <f>IF($AA42=0,"",INDEX('13 - DATA &amp; LISTS'!$AA$30:$AA$436,$AA42))</f>
        <v/>
      </c>
      <c r="D42" s="10" t="str">
        <f>IF($AA42=0,"",INDEX('13 - DATA &amp; LISTS'!$AB$30:$AB$436,$AA42))</f>
        <v/>
      </c>
      <c r="E42" s="10" t="str">
        <f>IF($AA42=0,"",INDEX('13 - DATA &amp; LISTS'!$AC$30:$AC$436,$AA42))</f>
        <v/>
      </c>
      <c r="F42" s="10" t="str">
        <f>IF($AA42=0,"",INDEX('13 - DATA &amp; LISTS'!$AD$30:$AD$436,$AA42))</f>
        <v/>
      </c>
      <c r="G42" s="10" t="str">
        <f>IF($AA42=0,"",INDEX('13 - DATA &amp; LISTS'!$AE$30:$AE$436,$AA42))</f>
        <v/>
      </c>
      <c r="H42" s="12" t="str">
        <f>IF($AA42=0,"",INDEX('13 - DATA &amp; LISTS'!$AF$30:$AF$436,$AA42))</f>
        <v/>
      </c>
      <c r="I42" s="10" t="str">
        <f>IF($AA42=0,"",INDEX('13 - DATA &amp; LISTS'!$AG$30:$AG$436,$AA42))</f>
        <v/>
      </c>
      <c r="J42" s="10" t="str">
        <f>IF($AA42=0,"",INDEX('13 - DATA &amp; LISTS'!$AH$30:$AH$436,$AA42))</f>
        <v/>
      </c>
      <c r="K42" s="10" t="str">
        <f>IF($AA42=0,"",INDEX('13 - DATA &amp; LISTS'!$AI$30:$AI$436,$AA42))</f>
        <v/>
      </c>
      <c r="AA42">
        <f>IF(COUNTIF('13 - DATA &amp; LISTS'!$AK$30:$AK$436,"&lt;999999999999")&lt;34,0,MATCH(SMALL('13 - DATA &amp; LISTS'!$AK$30:$AK$436,34),'13 - DATA &amp; LISTS'!$AK$30:$AK$436,0))</f>
        <v>0</v>
      </c>
    </row>
    <row r="43" spans="1:27" ht="63.95" customHeight="1">
      <c r="A43" s="10" t="str">
        <f>IF($AA43=0,"",INDEX('13 - DATA &amp; LISTS'!$Y$30:$Y$436,$AA43))</f>
        <v/>
      </c>
      <c r="B43" s="10" t="str">
        <f>IF($AA43=0,"",INDEX('13 - DATA &amp; LISTS'!$Z$30:$Z$436,$AA43))</f>
        <v/>
      </c>
      <c r="C43" s="10" t="str">
        <f>IF($AA43=0,"",INDEX('13 - DATA &amp; LISTS'!$AA$30:$AA$436,$AA43))</f>
        <v/>
      </c>
      <c r="D43" s="10" t="str">
        <f>IF($AA43=0,"",INDEX('13 - DATA &amp; LISTS'!$AB$30:$AB$436,$AA43))</f>
        <v/>
      </c>
      <c r="E43" s="10" t="str">
        <f>IF($AA43=0,"",INDEX('13 - DATA &amp; LISTS'!$AC$30:$AC$436,$AA43))</f>
        <v/>
      </c>
      <c r="F43" s="10" t="str">
        <f>IF($AA43=0,"",INDEX('13 - DATA &amp; LISTS'!$AD$30:$AD$436,$AA43))</f>
        <v/>
      </c>
      <c r="G43" s="10" t="str">
        <f>IF($AA43=0,"",INDEX('13 - DATA &amp; LISTS'!$AE$30:$AE$436,$AA43))</f>
        <v/>
      </c>
      <c r="H43" s="12" t="str">
        <f>IF($AA43=0,"",INDEX('13 - DATA &amp; LISTS'!$AF$30:$AF$436,$AA43))</f>
        <v/>
      </c>
      <c r="I43" s="10" t="str">
        <f>IF($AA43=0,"",INDEX('13 - DATA &amp; LISTS'!$AG$30:$AG$436,$AA43))</f>
        <v/>
      </c>
      <c r="J43" s="10" t="str">
        <f>IF($AA43=0,"",INDEX('13 - DATA &amp; LISTS'!$AH$30:$AH$436,$AA43))</f>
        <v/>
      </c>
      <c r="K43" s="10" t="str">
        <f>IF($AA43=0,"",INDEX('13 - DATA &amp; LISTS'!$AI$30:$AI$436,$AA43))</f>
        <v/>
      </c>
      <c r="AA43">
        <f>IF(COUNTIF('13 - DATA &amp; LISTS'!$AK$30:$AK$436,"&lt;999999999999")&lt;35,0,MATCH(SMALL('13 - DATA &amp; LISTS'!$AK$30:$AK$436,35),'13 - DATA &amp; LISTS'!$AK$30:$AK$436,0))</f>
        <v>0</v>
      </c>
    </row>
    <row r="44" spans="1:27" ht="63.95" customHeight="1">
      <c r="A44" s="10" t="str">
        <f>IF($AA44=0,"",INDEX('13 - DATA &amp; LISTS'!$Y$30:$Y$436,$AA44))</f>
        <v/>
      </c>
      <c r="B44" s="10" t="str">
        <f>IF($AA44=0,"",INDEX('13 - DATA &amp; LISTS'!$Z$30:$Z$436,$AA44))</f>
        <v/>
      </c>
      <c r="C44" s="10" t="str">
        <f>IF($AA44=0,"",INDEX('13 - DATA &amp; LISTS'!$AA$30:$AA$436,$AA44))</f>
        <v/>
      </c>
      <c r="D44" s="10" t="str">
        <f>IF($AA44=0,"",INDEX('13 - DATA &amp; LISTS'!$AB$30:$AB$436,$AA44))</f>
        <v/>
      </c>
      <c r="E44" s="10" t="str">
        <f>IF($AA44=0,"",INDEX('13 - DATA &amp; LISTS'!$AC$30:$AC$436,$AA44))</f>
        <v/>
      </c>
      <c r="F44" s="10" t="str">
        <f>IF($AA44=0,"",INDEX('13 - DATA &amp; LISTS'!$AD$30:$AD$436,$AA44))</f>
        <v/>
      </c>
      <c r="G44" s="10" t="str">
        <f>IF($AA44=0,"",INDEX('13 - DATA &amp; LISTS'!$AE$30:$AE$436,$AA44))</f>
        <v/>
      </c>
      <c r="H44" s="12" t="str">
        <f>IF($AA44=0,"",INDEX('13 - DATA &amp; LISTS'!$AF$30:$AF$436,$AA44))</f>
        <v/>
      </c>
      <c r="I44" s="10" t="str">
        <f>IF($AA44=0,"",INDEX('13 - DATA &amp; LISTS'!$AG$30:$AG$436,$AA44))</f>
        <v/>
      </c>
      <c r="J44" s="10" t="str">
        <f>IF($AA44=0,"",INDEX('13 - DATA &amp; LISTS'!$AH$30:$AH$436,$AA44))</f>
        <v/>
      </c>
      <c r="K44" s="10" t="str">
        <f>IF($AA44=0,"",INDEX('13 - DATA &amp; LISTS'!$AI$30:$AI$436,$AA44))</f>
        <v/>
      </c>
      <c r="AA44">
        <f>IF(COUNTIF('13 - DATA &amp; LISTS'!$AK$30:$AK$436,"&lt;999999999999")&lt;36,0,MATCH(SMALL('13 - DATA &amp; LISTS'!$AK$30:$AK$436,36),'13 - DATA &amp; LISTS'!$AK$30:$AK$436,0))</f>
        <v>0</v>
      </c>
    </row>
    <row r="45" spans="1:27" ht="63.95" customHeight="1">
      <c r="A45" s="10" t="str">
        <f>IF($AA45=0,"",INDEX('13 - DATA &amp; LISTS'!$Y$30:$Y$436,$AA45))</f>
        <v/>
      </c>
      <c r="B45" s="10" t="str">
        <f>IF($AA45=0,"",INDEX('13 - DATA &amp; LISTS'!$Z$30:$Z$436,$AA45))</f>
        <v/>
      </c>
      <c r="C45" s="10" t="str">
        <f>IF($AA45=0,"",INDEX('13 - DATA &amp; LISTS'!$AA$30:$AA$436,$AA45))</f>
        <v/>
      </c>
      <c r="D45" s="10" t="str">
        <f>IF($AA45=0,"",INDEX('13 - DATA &amp; LISTS'!$AB$30:$AB$436,$AA45))</f>
        <v/>
      </c>
      <c r="E45" s="10" t="str">
        <f>IF($AA45=0,"",INDEX('13 - DATA &amp; LISTS'!$AC$30:$AC$436,$AA45))</f>
        <v/>
      </c>
      <c r="F45" s="10" t="str">
        <f>IF($AA45=0,"",INDEX('13 - DATA &amp; LISTS'!$AD$30:$AD$436,$AA45))</f>
        <v/>
      </c>
      <c r="G45" s="10" t="str">
        <f>IF($AA45=0,"",INDEX('13 - DATA &amp; LISTS'!$AE$30:$AE$436,$AA45))</f>
        <v/>
      </c>
      <c r="H45" s="12" t="str">
        <f>IF($AA45=0,"",INDEX('13 - DATA &amp; LISTS'!$AF$30:$AF$436,$AA45))</f>
        <v/>
      </c>
      <c r="I45" s="10" t="str">
        <f>IF($AA45=0,"",INDEX('13 - DATA &amp; LISTS'!$AG$30:$AG$436,$AA45))</f>
        <v/>
      </c>
      <c r="J45" s="10" t="str">
        <f>IF($AA45=0,"",INDEX('13 - DATA &amp; LISTS'!$AH$30:$AH$436,$AA45))</f>
        <v/>
      </c>
      <c r="K45" s="10" t="str">
        <f>IF($AA45=0,"",INDEX('13 - DATA &amp; LISTS'!$AI$30:$AI$436,$AA45))</f>
        <v/>
      </c>
      <c r="AA45">
        <f>IF(COUNTIF('13 - DATA &amp; LISTS'!$AK$30:$AK$436,"&lt;999999999999")&lt;37,0,MATCH(SMALL('13 - DATA &amp; LISTS'!$AK$30:$AK$436,37),'13 - DATA &amp; LISTS'!$AK$30:$AK$436,0))</f>
        <v>0</v>
      </c>
    </row>
    <row r="46" spans="1:27" ht="63.95" customHeight="1">
      <c r="A46" s="10" t="str">
        <f>IF($AA46=0,"",INDEX('13 - DATA &amp; LISTS'!$Y$30:$Y$436,$AA46))</f>
        <v/>
      </c>
      <c r="B46" s="10" t="str">
        <f>IF($AA46=0,"",INDEX('13 - DATA &amp; LISTS'!$Z$30:$Z$436,$AA46))</f>
        <v/>
      </c>
      <c r="C46" s="10" t="str">
        <f>IF($AA46=0,"",INDEX('13 - DATA &amp; LISTS'!$AA$30:$AA$436,$AA46))</f>
        <v/>
      </c>
      <c r="D46" s="10" t="str">
        <f>IF($AA46=0,"",INDEX('13 - DATA &amp; LISTS'!$AB$30:$AB$436,$AA46))</f>
        <v/>
      </c>
      <c r="E46" s="10" t="str">
        <f>IF($AA46=0,"",INDEX('13 - DATA &amp; LISTS'!$AC$30:$AC$436,$AA46))</f>
        <v/>
      </c>
      <c r="F46" s="10" t="str">
        <f>IF($AA46=0,"",INDEX('13 - DATA &amp; LISTS'!$AD$30:$AD$436,$AA46))</f>
        <v/>
      </c>
      <c r="G46" s="10" t="str">
        <f>IF($AA46=0,"",INDEX('13 - DATA &amp; LISTS'!$AE$30:$AE$436,$AA46))</f>
        <v/>
      </c>
      <c r="H46" s="12" t="str">
        <f>IF($AA46=0,"",INDEX('13 - DATA &amp; LISTS'!$AF$30:$AF$436,$AA46))</f>
        <v/>
      </c>
      <c r="I46" s="10" t="str">
        <f>IF($AA46=0,"",INDEX('13 - DATA &amp; LISTS'!$AG$30:$AG$436,$AA46))</f>
        <v/>
      </c>
      <c r="J46" s="10" t="str">
        <f>IF($AA46=0,"",INDEX('13 - DATA &amp; LISTS'!$AH$30:$AH$436,$AA46))</f>
        <v/>
      </c>
      <c r="K46" s="10" t="str">
        <f>IF($AA46=0,"",INDEX('13 - DATA &amp; LISTS'!$AI$30:$AI$436,$AA46))</f>
        <v/>
      </c>
      <c r="AA46">
        <f>IF(COUNTIF('13 - DATA &amp; LISTS'!$AK$30:$AK$436,"&lt;999999999999")&lt;38,0,MATCH(SMALL('13 - DATA &amp; LISTS'!$AK$30:$AK$436,38),'13 - DATA &amp; LISTS'!$AK$30:$AK$436,0))</f>
        <v>0</v>
      </c>
    </row>
    <row r="47" spans="1:27" ht="63.95" customHeight="1">
      <c r="A47" s="10" t="str">
        <f>IF($AA47=0,"",INDEX('13 - DATA &amp; LISTS'!$Y$30:$Y$436,$AA47))</f>
        <v/>
      </c>
      <c r="B47" s="10" t="str">
        <f>IF($AA47=0,"",INDEX('13 - DATA &amp; LISTS'!$Z$30:$Z$436,$AA47))</f>
        <v/>
      </c>
      <c r="C47" s="10" t="str">
        <f>IF($AA47=0,"",INDEX('13 - DATA &amp; LISTS'!$AA$30:$AA$436,$AA47))</f>
        <v/>
      </c>
      <c r="D47" s="10" t="str">
        <f>IF($AA47=0,"",INDEX('13 - DATA &amp; LISTS'!$AB$30:$AB$436,$AA47))</f>
        <v/>
      </c>
      <c r="E47" s="10" t="str">
        <f>IF($AA47=0,"",INDEX('13 - DATA &amp; LISTS'!$AC$30:$AC$436,$AA47))</f>
        <v/>
      </c>
      <c r="F47" s="10" t="str">
        <f>IF($AA47=0,"",INDEX('13 - DATA &amp; LISTS'!$AD$30:$AD$436,$AA47))</f>
        <v/>
      </c>
      <c r="G47" s="10" t="str">
        <f>IF($AA47=0,"",INDEX('13 - DATA &amp; LISTS'!$AE$30:$AE$436,$AA47))</f>
        <v/>
      </c>
      <c r="H47" s="12" t="str">
        <f>IF($AA47=0,"",INDEX('13 - DATA &amp; LISTS'!$AF$30:$AF$436,$AA47))</f>
        <v/>
      </c>
      <c r="I47" s="10" t="str">
        <f>IF($AA47=0,"",INDEX('13 - DATA &amp; LISTS'!$AG$30:$AG$436,$AA47))</f>
        <v/>
      </c>
      <c r="J47" s="10" t="str">
        <f>IF($AA47=0,"",INDEX('13 - DATA &amp; LISTS'!$AH$30:$AH$436,$AA47))</f>
        <v/>
      </c>
      <c r="K47" s="10" t="str">
        <f>IF($AA47=0,"",INDEX('13 - DATA &amp; LISTS'!$AI$30:$AI$436,$AA47))</f>
        <v/>
      </c>
      <c r="AA47">
        <f>IF(COUNTIF('13 - DATA &amp; LISTS'!$AK$30:$AK$436,"&lt;999999999999")&lt;39,0,MATCH(SMALL('13 - DATA &amp; LISTS'!$AK$30:$AK$436,39),'13 - DATA &amp; LISTS'!$AK$30:$AK$436,0))</f>
        <v>0</v>
      </c>
    </row>
    <row r="48" spans="1:27" ht="63.95" customHeight="1">
      <c r="A48" s="10" t="str">
        <f>IF($AA48=0,"",INDEX('13 - DATA &amp; LISTS'!$Y$30:$Y$436,$AA48))</f>
        <v/>
      </c>
      <c r="B48" s="10" t="str">
        <f>IF($AA48=0,"",INDEX('13 - DATA &amp; LISTS'!$Z$30:$Z$436,$AA48))</f>
        <v/>
      </c>
      <c r="C48" s="10" t="str">
        <f>IF($AA48=0,"",INDEX('13 - DATA &amp; LISTS'!$AA$30:$AA$436,$AA48))</f>
        <v/>
      </c>
      <c r="D48" s="10" t="str">
        <f>IF($AA48=0,"",INDEX('13 - DATA &amp; LISTS'!$AB$30:$AB$436,$AA48))</f>
        <v/>
      </c>
      <c r="E48" s="10" t="str">
        <f>IF($AA48=0,"",INDEX('13 - DATA &amp; LISTS'!$AC$30:$AC$436,$AA48))</f>
        <v/>
      </c>
      <c r="F48" s="10" t="str">
        <f>IF($AA48=0,"",INDEX('13 - DATA &amp; LISTS'!$AD$30:$AD$436,$AA48))</f>
        <v/>
      </c>
      <c r="G48" s="10" t="str">
        <f>IF($AA48=0,"",INDEX('13 - DATA &amp; LISTS'!$AE$30:$AE$436,$AA48))</f>
        <v/>
      </c>
      <c r="H48" s="12" t="str">
        <f>IF($AA48=0,"",INDEX('13 - DATA &amp; LISTS'!$AF$30:$AF$436,$AA48))</f>
        <v/>
      </c>
      <c r="I48" s="10" t="str">
        <f>IF($AA48=0,"",INDEX('13 - DATA &amp; LISTS'!$AG$30:$AG$436,$AA48))</f>
        <v/>
      </c>
      <c r="J48" s="10" t="str">
        <f>IF($AA48=0,"",INDEX('13 - DATA &amp; LISTS'!$AH$30:$AH$436,$AA48))</f>
        <v/>
      </c>
      <c r="K48" s="10" t="str">
        <f>IF($AA48=0,"",INDEX('13 - DATA &amp; LISTS'!$AI$30:$AI$436,$AA48))</f>
        <v/>
      </c>
      <c r="AA48">
        <f>IF(COUNTIF('13 - DATA &amp; LISTS'!$AK$30:$AK$436,"&lt;999999999999")&lt;40,0,MATCH(SMALL('13 - DATA &amp; LISTS'!$AK$30:$AK$436,40),'13 - DATA &amp; LISTS'!$AK$30:$AK$436,0))</f>
        <v>0</v>
      </c>
    </row>
    <row r="49" spans="1:27" ht="63.95" customHeight="1">
      <c r="A49" s="10" t="str">
        <f>IF($AA49=0,"",INDEX('13 - DATA &amp; LISTS'!$Y$30:$Y$436,$AA49))</f>
        <v/>
      </c>
      <c r="B49" s="10" t="str">
        <f>IF($AA49=0,"",INDEX('13 - DATA &amp; LISTS'!$Z$30:$Z$436,$AA49))</f>
        <v/>
      </c>
      <c r="C49" s="10" t="str">
        <f>IF($AA49=0,"",INDEX('13 - DATA &amp; LISTS'!$AA$30:$AA$436,$AA49))</f>
        <v/>
      </c>
      <c r="D49" s="10" t="str">
        <f>IF($AA49=0,"",INDEX('13 - DATA &amp; LISTS'!$AB$30:$AB$436,$AA49))</f>
        <v/>
      </c>
      <c r="E49" s="10" t="str">
        <f>IF($AA49=0,"",INDEX('13 - DATA &amp; LISTS'!$AC$30:$AC$436,$AA49))</f>
        <v/>
      </c>
      <c r="F49" s="10" t="str">
        <f>IF($AA49=0,"",INDEX('13 - DATA &amp; LISTS'!$AD$30:$AD$436,$AA49))</f>
        <v/>
      </c>
      <c r="G49" s="10" t="str">
        <f>IF($AA49=0,"",INDEX('13 - DATA &amp; LISTS'!$AE$30:$AE$436,$AA49))</f>
        <v/>
      </c>
      <c r="H49" s="12" t="str">
        <f>IF($AA49=0,"",INDEX('13 - DATA &amp; LISTS'!$AF$30:$AF$436,$AA49))</f>
        <v/>
      </c>
      <c r="I49" s="10" t="str">
        <f>IF($AA49=0,"",INDEX('13 - DATA &amp; LISTS'!$AG$30:$AG$436,$AA49))</f>
        <v/>
      </c>
      <c r="J49" s="10" t="str">
        <f>IF($AA49=0,"",INDEX('13 - DATA &amp; LISTS'!$AH$30:$AH$436,$AA49))</f>
        <v/>
      </c>
      <c r="K49" s="10" t="str">
        <f>IF($AA49=0,"",INDEX('13 - DATA &amp; LISTS'!$AI$30:$AI$436,$AA49))</f>
        <v/>
      </c>
      <c r="AA49">
        <f>IF(COUNTIF('13 - DATA &amp; LISTS'!$AK$30:$AK$436,"&lt;999999999999")&lt;41,0,MATCH(SMALL('13 - DATA &amp; LISTS'!$AK$30:$AK$436,41),'13 - DATA &amp; LISTS'!$AK$30:$AK$436,0))</f>
        <v>0</v>
      </c>
    </row>
    <row r="50" spans="1:27" ht="63.95" customHeight="1">
      <c r="A50" s="10" t="str">
        <f>IF($AA50=0,"",INDEX('13 - DATA &amp; LISTS'!$Y$30:$Y$436,$AA50))</f>
        <v/>
      </c>
      <c r="B50" s="10" t="str">
        <f>IF($AA50=0,"",INDEX('13 - DATA &amp; LISTS'!$Z$30:$Z$436,$AA50))</f>
        <v/>
      </c>
      <c r="C50" s="10" t="str">
        <f>IF($AA50=0,"",INDEX('13 - DATA &amp; LISTS'!$AA$30:$AA$436,$AA50))</f>
        <v/>
      </c>
      <c r="D50" s="10" t="str">
        <f>IF($AA50=0,"",INDEX('13 - DATA &amp; LISTS'!$AB$30:$AB$436,$AA50))</f>
        <v/>
      </c>
      <c r="E50" s="10" t="str">
        <f>IF($AA50=0,"",INDEX('13 - DATA &amp; LISTS'!$AC$30:$AC$436,$AA50))</f>
        <v/>
      </c>
      <c r="F50" s="10" t="str">
        <f>IF($AA50=0,"",INDEX('13 - DATA &amp; LISTS'!$AD$30:$AD$436,$AA50))</f>
        <v/>
      </c>
      <c r="G50" s="10" t="str">
        <f>IF($AA50=0,"",INDEX('13 - DATA &amp; LISTS'!$AE$30:$AE$436,$AA50))</f>
        <v/>
      </c>
      <c r="H50" s="12" t="str">
        <f>IF($AA50=0,"",INDEX('13 - DATA &amp; LISTS'!$AF$30:$AF$436,$AA50))</f>
        <v/>
      </c>
      <c r="I50" s="10" t="str">
        <f>IF($AA50=0,"",INDEX('13 - DATA &amp; LISTS'!$AG$30:$AG$436,$AA50))</f>
        <v/>
      </c>
      <c r="J50" s="10" t="str">
        <f>IF($AA50=0,"",INDEX('13 - DATA &amp; LISTS'!$AH$30:$AH$436,$AA50))</f>
        <v/>
      </c>
      <c r="K50" s="10" t="str">
        <f>IF($AA50=0,"",INDEX('13 - DATA &amp; LISTS'!$AI$30:$AI$436,$AA50))</f>
        <v/>
      </c>
      <c r="AA50">
        <f>IF(COUNTIF('13 - DATA &amp; LISTS'!$AK$30:$AK$436,"&lt;999999999999")&lt;42,0,MATCH(SMALL('13 - DATA &amp; LISTS'!$AK$30:$AK$436,42),'13 - DATA &amp; LISTS'!$AK$30:$AK$436,0))</f>
        <v>0</v>
      </c>
    </row>
    <row r="51" spans="1:27" ht="63.95" customHeight="1">
      <c r="A51" s="10" t="str">
        <f>IF($AA51=0,"",INDEX('13 - DATA &amp; LISTS'!$Y$30:$Y$436,$AA51))</f>
        <v/>
      </c>
      <c r="B51" s="10" t="str">
        <f>IF($AA51=0,"",INDEX('13 - DATA &amp; LISTS'!$Z$30:$Z$436,$AA51))</f>
        <v/>
      </c>
      <c r="C51" s="10" t="str">
        <f>IF($AA51=0,"",INDEX('13 - DATA &amp; LISTS'!$AA$30:$AA$436,$AA51))</f>
        <v/>
      </c>
      <c r="D51" s="10" t="str">
        <f>IF($AA51=0,"",INDEX('13 - DATA &amp; LISTS'!$AB$30:$AB$436,$AA51))</f>
        <v/>
      </c>
      <c r="E51" s="10" t="str">
        <f>IF($AA51=0,"",INDEX('13 - DATA &amp; LISTS'!$AC$30:$AC$436,$AA51))</f>
        <v/>
      </c>
      <c r="F51" s="10" t="str">
        <f>IF($AA51=0,"",INDEX('13 - DATA &amp; LISTS'!$AD$30:$AD$436,$AA51))</f>
        <v/>
      </c>
      <c r="G51" s="10" t="str">
        <f>IF($AA51=0,"",INDEX('13 - DATA &amp; LISTS'!$AE$30:$AE$436,$AA51))</f>
        <v/>
      </c>
      <c r="H51" s="12" t="str">
        <f>IF($AA51=0,"",INDEX('13 - DATA &amp; LISTS'!$AF$30:$AF$436,$AA51))</f>
        <v/>
      </c>
      <c r="I51" s="10" t="str">
        <f>IF($AA51=0,"",INDEX('13 - DATA &amp; LISTS'!$AG$30:$AG$436,$AA51))</f>
        <v/>
      </c>
      <c r="J51" s="10" t="str">
        <f>IF($AA51=0,"",INDEX('13 - DATA &amp; LISTS'!$AH$30:$AH$436,$AA51))</f>
        <v/>
      </c>
      <c r="K51" s="10" t="str">
        <f>IF($AA51=0,"",INDEX('13 - DATA &amp; LISTS'!$AI$30:$AI$436,$AA51))</f>
        <v/>
      </c>
      <c r="AA51">
        <f>IF(COUNTIF('13 - DATA &amp; LISTS'!$AK$30:$AK$436,"&lt;999999999999")&lt;43,0,MATCH(SMALL('13 - DATA &amp; LISTS'!$AK$30:$AK$436,43),'13 - DATA &amp; LISTS'!$AK$30:$AK$436,0))</f>
        <v>0</v>
      </c>
    </row>
    <row r="52" spans="1:27" ht="63.95" customHeight="1">
      <c r="A52" s="10" t="str">
        <f>IF($AA52=0,"",INDEX('13 - DATA &amp; LISTS'!$Y$30:$Y$436,$AA52))</f>
        <v/>
      </c>
      <c r="B52" s="10" t="str">
        <f>IF($AA52=0,"",INDEX('13 - DATA &amp; LISTS'!$Z$30:$Z$436,$AA52))</f>
        <v/>
      </c>
      <c r="C52" s="10" t="str">
        <f>IF($AA52=0,"",INDEX('13 - DATA &amp; LISTS'!$AA$30:$AA$436,$AA52))</f>
        <v/>
      </c>
      <c r="D52" s="10" t="str">
        <f>IF($AA52=0,"",INDEX('13 - DATA &amp; LISTS'!$AB$30:$AB$436,$AA52))</f>
        <v/>
      </c>
      <c r="E52" s="10" t="str">
        <f>IF($AA52=0,"",INDEX('13 - DATA &amp; LISTS'!$AC$30:$AC$436,$AA52))</f>
        <v/>
      </c>
      <c r="F52" s="10" t="str">
        <f>IF($AA52=0,"",INDEX('13 - DATA &amp; LISTS'!$AD$30:$AD$436,$AA52))</f>
        <v/>
      </c>
      <c r="G52" s="10" t="str">
        <f>IF($AA52=0,"",INDEX('13 - DATA &amp; LISTS'!$AE$30:$AE$436,$AA52))</f>
        <v/>
      </c>
      <c r="H52" s="12" t="str">
        <f>IF($AA52=0,"",INDEX('13 - DATA &amp; LISTS'!$AF$30:$AF$436,$AA52))</f>
        <v/>
      </c>
      <c r="I52" s="10" t="str">
        <f>IF($AA52=0,"",INDEX('13 - DATA &amp; LISTS'!$AG$30:$AG$436,$AA52))</f>
        <v/>
      </c>
      <c r="J52" s="10" t="str">
        <f>IF($AA52=0,"",INDEX('13 - DATA &amp; LISTS'!$AH$30:$AH$436,$AA52))</f>
        <v/>
      </c>
      <c r="K52" s="10" t="str">
        <f>IF($AA52=0,"",INDEX('13 - DATA &amp; LISTS'!$AI$30:$AI$436,$AA52))</f>
        <v/>
      </c>
      <c r="AA52">
        <f>IF(COUNTIF('13 - DATA &amp; LISTS'!$AK$30:$AK$436,"&lt;999999999999")&lt;44,0,MATCH(SMALL('13 - DATA &amp; LISTS'!$AK$30:$AK$436,44),'13 - DATA &amp; LISTS'!$AK$30:$AK$436,0))</f>
        <v>0</v>
      </c>
    </row>
    <row r="53" spans="1:27" ht="63.95" customHeight="1">
      <c r="A53" s="10" t="str">
        <f>IF($AA53=0,"",INDEX('13 - DATA &amp; LISTS'!$Y$30:$Y$436,$AA53))</f>
        <v/>
      </c>
      <c r="B53" s="10" t="str">
        <f>IF($AA53=0,"",INDEX('13 - DATA &amp; LISTS'!$Z$30:$Z$436,$AA53))</f>
        <v/>
      </c>
      <c r="C53" s="10" t="str">
        <f>IF($AA53=0,"",INDEX('13 - DATA &amp; LISTS'!$AA$30:$AA$436,$AA53))</f>
        <v/>
      </c>
      <c r="D53" s="10" t="str">
        <f>IF($AA53=0,"",INDEX('13 - DATA &amp; LISTS'!$AB$30:$AB$436,$AA53))</f>
        <v/>
      </c>
      <c r="E53" s="10" t="str">
        <f>IF($AA53=0,"",INDEX('13 - DATA &amp; LISTS'!$AC$30:$AC$436,$AA53))</f>
        <v/>
      </c>
      <c r="F53" s="10" t="str">
        <f>IF($AA53=0,"",INDEX('13 - DATA &amp; LISTS'!$AD$30:$AD$436,$AA53))</f>
        <v/>
      </c>
      <c r="G53" s="10" t="str">
        <f>IF($AA53=0,"",INDEX('13 - DATA &amp; LISTS'!$AE$30:$AE$436,$AA53))</f>
        <v/>
      </c>
      <c r="H53" s="12" t="str">
        <f>IF($AA53=0,"",INDEX('13 - DATA &amp; LISTS'!$AF$30:$AF$436,$AA53))</f>
        <v/>
      </c>
      <c r="I53" s="10" t="str">
        <f>IF($AA53=0,"",INDEX('13 - DATA &amp; LISTS'!$AG$30:$AG$436,$AA53))</f>
        <v/>
      </c>
      <c r="J53" s="10" t="str">
        <f>IF($AA53=0,"",INDEX('13 - DATA &amp; LISTS'!$AH$30:$AH$436,$AA53))</f>
        <v/>
      </c>
      <c r="K53" s="10" t="str">
        <f>IF($AA53=0,"",INDEX('13 - DATA &amp; LISTS'!$AI$30:$AI$436,$AA53))</f>
        <v/>
      </c>
      <c r="AA53">
        <f>IF(COUNTIF('13 - DATA &amp; LISTS'!$AK$30:$AK$436,"&lt;999999999999")&lt;45,0,MATCH(SMALL('13 - DATA &amp; LISTS'!$AK$30:$AK$436,45),'13 - DATA &amp; LISTS'!$AK$30:$AK$436,0))</f>
        <v>0</v>
      </c>
    </row>
    <row r="54" spans="1:27" ht="63.95" customHeight="1">
      <c r="A54" s="10" t="str">
        <f>IF($AA54=0,"",INDEX('13 - DATA &amp; LISTS'!$Y$30:$Y$436,$AA54))</f>
        <v/>
      </c>
      <c r="B54" s="10" t="str">
        <f>IF($AA54=0,"",INDEX('13 - DATA &amp; LISTS'!$Z$30:$Z$436,$AA54))</f>
        <v/>
      </c>
      <c r="C54" s="10" t="str">
        <f>IF($AA54=0,"",INDEX('13 - DATA &amp; LISTS'!$AA$30:$AA$436,$AA54))</f>
        <v/>
      </c>
      <c r="D54" s="10" t="str">
        <f>IF($AA54=0,"",INDEX('13 - DATA &amp; LISTS'!$AB$30:$AB$436,$AA54))</f>
        <v/>
      </c>
      <c r="E54" s="10" t="str">
        <f>IF($AA54=0,"",INDEX('13 - DATA &amp; LISTS'!$AC$30:$AC$436,$AA54))</f>
        <v/>
      </c>
      <c r="F54" s="10" t="str">
        <f>IF($AA54=0,"",INDEX('13 - DATA &amp; LISTS'!$AD$30:$AD$436,$AA54))</f>
        <v/>
      </c>
      <c r="G54" s="10" t="str">
        <f>IF($AA54=0,"",INDEX('13 - DATA &amp; LISTS'!$AE$30:$AE$436,$AA54))</f>
        <v/>
      </c>
      <c r="H54" s="12" t="str">
        <f>IF($AA54=0,"",INDEX('13 - DATA &amp; LISTS'!$AF$30:$AF$436,$AA54))</f>
        <v/>
      </c>
      <c r="I54" s="10" t="str">
        <f>IF($AA54=0,"",INDEX('13 - DATA &amp; LISTS'!$AG$30:$AG$436,$AA54))</f>
        <v/>
      </c>
      <c r="J54" s="10" t="str">
        <f>IF($AA54=0,"",INDEX('13 - DATA &amp; LISTS'!$AH$30:$AH$436,$AA54))</f>
        <v/>
      </c>
      <c r="K54" s="10" t="str">
        <f>IF($AA54=0,"",INDEX('13 - DATA &amp; LISTS'!$AI$30:$AI$436,$AA54))</f>
        <v/>
      </c>
      <c r="AA54">
        <f>IF(COUNTIF('13 - DATA &amp; LISTS'!$AK$30:$AK$436,"&lt;999999999999")&lt;46,0,MATCH(SMALL('13 - DATA &amp; LISTS'!$AK$30:$AK$436,46),'13 - DATA &amp; LISTS'!$AK$30:$AK$436,0))</f>
        <v>0</v>
      </c>
    </row>
    <row r="55" spans="1:27" ht="63.95" customHeight="1">
      <c r="A55" s="10" t="str">
        <f>IF($AA55=0,"",INDEX('13 - DATA &amp; LISTS'!$Y$30:$Y$436,$AA55))</f>
        <v/>
      </c>
      <c r="B55" s="10" t="str">
        <f>IF($AA55=0,"",INDEX('13 - DATA &amp; LISTS'!$Z$30:$Z$436,$AA55))</f>
        <v/>
      </c>
      <c r="C55" s="10" t="str">
        <f>IF($AA55=0,"",INDEX('13 - DATA &amp; LISTS'!$AA$30:$AA$436,$AA55))</f>
        <v/>
      </c>
      <c r="D55" s="10" t="str">
        <f>IF($AA55=0,"",INDEX('13 - DATA &amp; LISTS'!$AB$30:$AB$436,$AA55))</f>
        <v/>
      </c>
      <c r="E55" s="10" t="str">
        <f>IF($AA55=0,"",INDEX('13 - DATA &amp; LISTS'!$AC$30:$AC$436,$AA55))</f>
        <v/>
      </c>
      <c r="F55" s="10" t="str">
        <f>IF($AA55=0,"",INDEX('13 - DATA &amp; LISTS'!$AD$30:$AD$436,$AA55))</f>
        <v/>
      </c>
      <c r="G55" s="10" t="str">
        <f>IF($AA55=0,"",INDEX('13 - DATA &amp; LISTS'!$AE$30:$AE$436,$AA55))</f>
        <v/>
      </c>
      <c r="H55" s="12" t="str">
        <f>IF($AA55=0,"",INDEX('13 - DATA &amp; LISTS'!$AF$30:$AF$436,$AA55))</f>
        <v/>
      </c>
      <c r="I55" s="10" t="str">
        <f>IF($AA55=0,"",INDEX('13 - DATA &amp; LISTS'!$AG$30:$AG$436,$AA55))</f>
        <v/>
      </c>
      <c r="J55" s="10" t="str">
        <f>IF($AA55=0,"",INDEX('13 - DATA &amp; LISTS'!$AH$30:$AH$436,$AA55))</f>
        <v/>
      </c>
      <c r="K55" s="10" t="str">
        <f>IF($AA55=0,"",INDEX('13 - DATA &amp; LISTS'!$AI$30:$AI$436,$AA55))</f>
        <v/>
      </c>
      <c r="AA55">
        <f>IF(COUNTIF('13 - DATA &amp; LISTS'!$AK$30:$AK$436,"&lt;999999999999")&lt;47,0,MATCH(SMALL('13 - DATA &amp; LISTS'!$AK$30:$AK$436,47),'13 - DATA &amp; LISTS'!$AK$30:$AK$436,0))</f>
        <v>0</v>
      </c>
    </row>
    <row r="56" spans="1:27" ht="63.95" customHeight="1">
      <c r="A56" s="10" t="str">
        <f>IF($AA56=0,"",INDEX('13 - DATA &amp; LISTS'!$Y$30:$Y$436,$AA56))</f>
        <v/>
      </c>
      <c r="B56" s="10" t="str">
        <f>IF($AA56=0,"",INDEX('13 - DATA &amp; LISTS'!$Z$30:$Z$436,$AA56))</f>
        <v/>
      </c>
      <c r="C56" s="10" t="str">
        <f>IF($AA56=0,"",INDEX('13 - DATA &amp; LISTS'!$AA$30:$AA$436,$AA56))</f>
        <v/>
      </c>
      <c r="D56" s="10" t="str">
        <f>IF($AA56=0,"",INDEX('13 - DATA &amp; LISTS'!$AB$30:$AB$436,$AA56))</f>
        <v/>
      </c>
      <c r="E56" s="10" t="str">
        <f>IF($AA56=0,"",INDEX('13 - DATA &amp; LISTS'!$AC$30:$AC$436,$AA56))</f>
        <v/>
      </c>
      <c r="F56" s="10" t="str">
        <f>IF($AA56=0,"",INDEX('13 - DATA &amp; LISTS'!$AD$30:$AD$436,$AA56))</f>
        <v/>
      </c>
      <c r="G56" s="10" t="str">
        <f>IF($AA56=0,"",INDEX('13 - DATA &amp; LISTS'!$AE$30:$AE$436,$AA56))</f>
        <v/>
      </c>
      <c r="H56" s="12" t="str">
        <f>IF($AA56=0,"",INDEX('13 - DATA &amp; LISTS'!$AF$30:$AF$436,$AA56))</f>
        <v/>
      </c>
      <c r="I56" s="10" t="str">
        <f>IF($AA56=0,"",INDEX('13 - DATA &amp; LISTS'!$AG$30:$AG$436,$AA56))</f>
        <v/>
      </c>
      <c r="J56" s="10" t="str">
        <f>IF($AA56=0,"",INDEX('13 - DATA &amp; LISTS'!$AH$30:$AH$436,$AA56))</f>
        <v/>
      </c>
      <c r="K56" s="10" t="str">
        <f>IF($AA56=0,"",INDEX('13 - DATA &amp; LISTS'!$AI$30:$AI$436,$AA56))</f>
        <v/>
      </c>
      <c r="AA56">
        <f>IF(COUNTIF('13 - DATA &amp; LISTS'!$AK$30:$AK$436,"&lt;999999999999")&lt;48,0,MATCH(SMALL('13 - DATA &amp; LISTS'!$AK$30:$AK$436,48),'13 - DATA &amp; LISTS'!$AK$30:$AK$436,0))</f>
        <v>0</v>
      </c>
    </row>
    <row r="57" spans="1:27" ht="63.95" customHeight="1">
      <c r="A57" s="10" t="str">
        <f>IF($AA57=0,"",INDEX('13 - DATA &amp; LISTS'!$Y$30:$Y$436,$AA57))</f>
        <v/>
      </c>
      <c r="B57" s="10" t="str">
        <f>IF($AA57=0,"",INDEX('13 - DATA &amp; LISTS'!$Z$30:$Z$436,$AA57))</f>
        <v/>
      </c>
      <c r="C57" s="10" t="str">
        <f>IF($AA57=0,"",INDEX('13 - DATA &amp; LISTS'!$AA$30:$AA$436,$AA57))</f>
        <v/>
      </c>
      <c r="D57" s="10" t="str">
        <f>IF($AA57=0,"",INDEX('13 - DATA &amp; LISTS'!$AB$30:$AB$436,$AA57))</f>
        <v/>
      </c>
      <c r="E57" s="10" t="str">
        <f>IF($AA57=0,"",INDEX('13 - DATA &amp; LISTS'!$AC$30:$AC$436,$AA57))</f>
        <v/>
      </c>
      <c r="F57" s="10" t="str">
        <f>IF($AA57=0,"",INDEX('13 - DATA &amp; LISTS'!$AD$30:$AD$436,$AA57))</f>
        <v/>
      </c>
      <c r="G57" s="10" t="str">
        <f>IF($AA57=0,"",INDEX('13 - DATA &amp; LISTS'!$AE$30:$AE$436,$AA57))</f>
        <v/>
      </c>
      <c r="H57" s="12" t="str">
        <f>IF($AA57=0,"",INDEX('13 - DATA &amp; LISTS'!$AF$30:$AF$436,$AA57))</f>
        <v/>
      </c>
      <c r="I57" s="10" t="str">
        <f>IF($AA57=0,"",INDEX('13 - DATA &amp; LISTS'!$AG$30:$AG$436,$AA57))</f>
        <v/>
      </c>
      <c r="J57" s="10" t="str">
        <f>IF($AA57=0,"",INDEX('13 - DATA &amp; LISTS'!$AH$30:$AH$436,$AA57))</f>
        <v/>
      </c>
      <c r="K57" s="10" t="str">
        <f>IF($AA57=0,"",INDEX('13 - DATA &amp; LISTS'!$AI$30:$AI$436,$AA57))</f>
        <v/>
      </c>
      <c r="AA57">
        <f>IF(COUNTIF('13 - DATA &amp; LISTS'!$AK$30:$AK$436,"&lt;999999999999")&lt;49,0,MATCH(SMALL('13 - DATA &amp; LISTS'!$AK$30:$AK$436,49),'13 - DATA &amp; LISTS'!$AK$30:$AK$436,0))</f>
        <v>0</v>
      </c>
    </row>
    <row r="58" spans="1:27" ht="63.95" customHeight="1">
      <c r="A58" s="10" t="str">
        <f>IF($AA58=0,"",INDEX('13 - DATA &amp; LISTS'!$Y$30:$Y$436,$AA58))</f>
        <v/>
      </c>
      <c r="B58" s="10" t="str">
        <f>IF($AA58=0,"",INDEX('13 - DATA &amp; LISTS'!$Z$30:$Z$436,$AA58))</f>
        <v/>
      </c>
      <c r="C58" s="10" t="str">
        <f>IF($AA58=0,"",INDEX('13 - DATA &amp; LISTS'!$AA$30:$AA$436,$AA58))</f>
        <v/>
      </c>
      <c r="D58" s="10" t="str">
        <f>IF($AA58=0,"",INDEX('13 - DATA &amp; LISTS'!$AB$30:$AB$436,$AA58))</f>
        <v/>
      </c>
      <c r="E58" s="10" t="str">
        <f>IF($AA58=0,"",INDEX('13 - DATA &amp; LISTS'!$AC$30:$AC$436,$AA58))</f>
        <v/>
      </c>
      <c r="F58" s="10" t="str">
        <f>IF($AA58=0,"",INDEX('13 - DATA &amp; LISTS'!$AD$30:$AD$436,$AA58))</f>
        <v/>
      </c>
      <c r="G58" s="10" t="str">
        <f>IF($AA58=0,"",INDEX('13 - DATA &amp; LISTS'!$AE$30:$AE$436,$AA58))</f>
        <v/>
      </c>
      <c r="H58" s="12" t="str">
        <f>IF($AA58=0,"",INDEX('13 - DATA &amp; LISTS'!$AF$30:$AF$436,$AA58))</f>
        <v/>
      </c>
      <c r="I58" s="10" t="str">
        <f>IF($AA58=0,"",INDEX('13 - DATA &amp; LISTS'!$AG$30:$AG$436,$AA58))</f>
        <v/>
      </c>
      <c r="J58" s="10" t="str">
        <f>IF($AA58=0,"",INDEX('13 - DATA &amp; LISTS'!$AH$30:$AH$436,$AA58))</f>
        <v/>
      </c>
      <c r="K58" s="10" t="str">
        <f>IF($AA58=0,"",INDEX('13 - DATA &amp; LISTS'!$AI$30:$AI$436,$AA58))</f>
        <v/>
      </c>
      <c r="AA58">
        <f>IF(COUNTIF('13 - DATA &amp; LISTS'!$AK$30:$AK$436,"&lt;999999999999")&lt;50,0,MATCH(SMALL('13 - DATA &amp; LISTS'!$AK$30:$AK$436,50),'13 - DATA &amp; LISTS'!$AK$30:$AK$436,0))</f>
        <v>0</v>
      </c>
    </row>
    <row r="59" spans="1:27" ht="63.95" customHeight="1">
      <c r="A59" s="10" t="str">
        <f>IF($AA59=0,"",INDEX('13 - DATA &amp; LISTS'!$Y$30:$Y$436,$AA59))</f>
        <v/>
      </c>
      <c r="B59" s="10" t="str">
        <f>IF($AA59=0,"",INDEX('13 - DATA &amp; LISTS'!$Z$30:$Z$436,$AA59))</f>
        <v/>
      </c>
      <c r="C59" s="10" t="str">
        <f>IF($AA59=0,"",INDEX('13 - DATA &amp; LISTS'!$AA$30:$AA$436,$AA59))</f>
        <v/>
      </c>
      <c r="D59" s="10" t="str">
        <f>IF($AA59=0,"",INDEX('13 - DATA &amp; LISTS'!$AB$30:$AB$436,$AA59))</f>
        <v/>
      </c>
      <c r="E59" s="10" t="str">
        <f>IF($AA59=0,"",INDEX('13 - DATA &amp; LISTS'!$AC$30:$AC$436,$AA59))</f>
        <v/>
      </c>
      <c r="F59" s="10" t="str">
        <f>IF($AA59=0,"",INDEX('13 - DATA &amp; LISTS'!$AD$30:$AD$436,$AA59))</f>
        <v/>
      </c>
      <c r="G59" s="10" t="str">
        <f>IF($AA59=0,"",INDEX('13 - DATA &amp; LISTS'!$AE$30:$AE$436,$AA59))</f>
        <v/>
      </c>
      <c r="H59" s="12" t="str">
        <f>IF($AA59=0,"",INDEX('13 - DATA &amp; LISTS'!$AF$30:$AF$436,$AA59))</f>
        <v/>
      </c>
      <c r="I59" s="10" t="str">
        <f>IF($AA59=0,"",INDEX('13 - DATA &amp; LISTS'!$AG$30:$AG$436,$AA59))</f>
        <v/>
      </c>
      <c r="J59" s="10" t="str">
        <f>IF($AA59=0,"",INDEX('13 - DATA &amp; LISTS'!$AH$30:$AH$436,$AA59))</f>
        <v/>
      </c>
      <c r="K59" s="10" t="str">
        <f>IF($AA59=0,"",INDEX('13 - DATA &amp; LISTS'!$AI$30:$AI$436,$AA59))</f>
        <v/>
      </c>
      <c r="AA59">
        <f>IF(COUNTIF('13 - DATA &amp; LISTS'!$AK$30:$AK$436,"&lt;999999999999")&lt;51,0,MATCH(SMALL('13 - DATA &amp; LISTS'!$AK$30:$AK$436,51),'13 - DATA &amp; LISTS'!$AK$30:$AK$436,0))</f>
        <v>0</v>
      </c>
    </row>
    <row r="60" spans="1:27" ht="63.95" customHeight="1">
      <c r="A60" s="10" t="str">
        <f>IF($AA60=0,"",INDEX('13 - DATA &amp; LISTS'!$Y$30:$Y$436,$AA60))</f>
        <v/>
      </c>
      <c r="B60" s="10" t="str">
        <f>IF($AA60=0,"",INDEX('13 - DATA &amp; LISTS'!$Z$30:$Z$436,$AA60))</f>
        <v/>
      </c>
      <c r="C60" s="10" t="str">
        <f>IF($AA60=0,"",INDEX('13 - DATA &amp; LISTS'!$AA$30:$AA$436,$AA60))</f>
        <v/>
      </c>
      <c r="D60" s="10" t="str">
        <f>IF($AA60=0,"",INDEX('13 - DATA &amp; LISTS'!$AB$30:$AB$436,$AA60))</f>
        <v/>
      </c>
      <c r="E60" s="10" t="str">
        <f>IF($AA60=0,"",INDEX('13 - DATA &amp; LISTS'!$AC$30:$AC$436,$AA60))</f>
        <v/>
      </c>
      <c r="F60" s="10" t="str">
        <f>IF($AA60=0,"",INDEX('13 - DATA &amp; LISTS'!$AD$30:$AD$436,$AA60))</f>
        <v/>
      </c>
      <c r="G60" s="10" t="str">
        <f>IF($AA60=0,"",INDEX('13 - DATA &amp; LISTS'!$AE$30:$AE$436,$AA60))</f>
        <v/>
      </c>
      <c r="H60" s="12" t="str">
        <f>IF($AA60=0,"",INDEX('13 - DATA &amp; LISTS'!$AF$30:$AF$436,$AA60))</f>
        <v/>
      </c>
      <c r="I60" s="10" t="str">
        <f>IF($AA60=0,"",INDEX('13 - DATA &amp; LISTS'!$AG$30:$AG$436,$AA60))</f>
        <v/>
      </c>
      <c r="J60" s="10" t="str">
        <f>IF($AA60=0,"",INDEX('13 - DATA &amp; LISTS'!$AH$30:$AH$436,$AA60))</f>
        <v/>
      </c>
      <c r="K60" s="10" t="str">
        <f>IF($AA60=0,"",INDEX('13 - DATA &amp; LISTS'!$AI$30:$AI$436,$AA60))</f>
        <v/>
      </c>
      <c r="AA60">
        <f>IF(COUNTIF('13 - DATA &amp; LISTS'!$AK$30:$AK$436,"&lt;999999999999")&lt;52,0,MATCH(SMALL('13 - DATA &amp; LISTS'!$AK$30:$AK$436,52),'13 - DATA &amp; LISTS'!$AK$30:$AK$436,0))</f>
        <v>0</v>
      </c>
    </row>
    <row r="61" spans="1:27" ht="63.95" customHeight="1">
      <c r="A61" s="10" t="str">
        <f>IF($AA61=0,"",INDEX('13 - DATA &amp; LISTS'!$Y$30:$Y$436,$AA61))</f>
        <v/>
      </c>
      <c r="B61" s="10" t="str">
        <f>IF($AA61=0,"",INDEX('13 - DATA &amp; LISTS'!$Z$30:$Z$436,$AA61))</f>
        <v/>
      </c>
      <c r="C61" s="10" t="str">
        <f>IF($AA61=0,"",INDEX('13 - DATA &amp; LISTS'!$AA$30:$AA$436,$AA61))</f>
        <v/>
      </c>
      <c r="D61" s="10" t="str">
        <f>IF($AA61=0,"",INDEX('13 - DATA &amp; LISTS'!$AB$30:$AB$436,$AA61))</f>
        <v/>
      </c>
      <c r="E61" s="10" t="str">
        <f>IF($AA61=0,"",INDEX('13 - DATA &amp; LISTS'!$AC$30:$AC$436,$AA61))</f>
        <v/>
      </c>
      <c r="F61" s="10" t="str">
        <f>IF($AA61=0,"",INDEX('13 - DATA &amp; LISTS'!$AD$30:$AD$436,$AA61))</f>
        <v/>
      </c>
      <c r="G61" s="10" t="str">
        <f>IF($AA61=0,"",INDEX('13 - DATA &amp; LISTS'!$AE$30:$AE$436,$AA61))</f>
        <v/>
      </c>
      <c r="H61" s="12" t="str">
        <f>IF($AA61=0,"",INDEX('13 - DATA &amp; LISTS'!$AF$30:$AF$436,$AA61))</f>
        <v/>
      </c>
      <c r="I61" s="10" t="str">
        <f>IF($AA61=0,"",INDEX('13 - DATA &amp; LISTS'!$AG$30:$AG$436,$AA61))</f>
        <v/>
      </c>
      <c r="J61" s="10" t="str">
        <f>IF($AA61=0,"",INDEX('13 - DATA &amp; LISTS'!$AH$30:$AH$436,$AA61))</f>
        <v/>
      </c>
      <c r="K61" s="10" t="str">
        <f>IF($AA61=0,"",INDEX('13 - DATA &amp; LISTS'!$AI$30:$AI$436,$AA61))</f>
        <v/>
      </c>
      <c r="AA61">
        <f>IF(COUNTIF('13 - DATA &amp; LISTS'!$AK$30:$AK$436,"&lt;999999999999")&lt;53,0,MATCH(SMALL('13 - DATA &amp; LISTS'!$AK$30:$AK$436,53),'13 - DATA &amp; LISTS'!$AK$30:$AK$436,0))</f>
        <v>0</v>
      </c>
    </row>
    <row r="62" spans="1:27" ht="63.95" customHeight="1">
      <c r="A62" s="10" t="str">
        <f>IF($AA62=0,"",INDEX('13 - DATA &amp; LISTS'!$Y$30:$Y$436,$AA62))</f>
        <v/>
      </c>
      <c r="B62" s="10" t="str">
        <f>IF($AA62=0,"",INDEX('13 - DATA &amp; LISTS'!$Z$30:$Z$436,$AA62))</f>
        <v/>
      </c>
      <c r="C62" s="10" t="str">
        <f>IF($AA62=0,"",INDEX('13 - DATA &amp; LISTS'!$AA$30:$AA$436,$AA62))</f>
        <v/>
      </c>
      <c r="D62" s="10" t="str">
        <f>IF($AA62=0,"",INDEX('13 - DATA &amp; LISTS'!$AB$30:$AB$436,$AA62))</f>
        <v/>
      </c>
      <c r="E62" s="10" t="str">
        <f>IF($AA62=0,"",INDEX('13 - DATA &amp; LISTS'!$AC$30:$AC$436,$AA62))</f>
        <v/>
      </c>
      <c r="F62" s="10" t="str">
        <f>IF($AA62=0,"",INDEX('13 - DATA &amp; LISTS'!$AD$30:$AD$436,$AA62))</f>
        <v/>
      </c>
      <c r="G62" s="10" t="str">
        <f>IF($AA62=0,"",INDEX('13 - DATA &amp; LISTS'!$AE$30:$AE$436,$AA62))</f>
        <v/>
      </c>
      <c r="H62" s="12" t="str">
        <f>IF($AA62=0,"",INDEX('13 - DATA &amp; LISTS'!$AF$30:$AF$436,$AA62))</f>
        <v/>
      </c>
      <c r="I62" s="10" t="str">
        <f>IF($AA62=0,"",INDEX('13 - DATA &amp; LISTS'!$AG$30:$AG$436,$AA62))</f>
        <v/>
      </c>
      <c r="J62" s="10" t="str">
        <f>IF($AA62=0,"",INDEX('13 - DATA &amp; LISTS'!$AH$30:$AH$436,$AA62))</f>
        <v/>
      </c>
      <c r="K62" s="10" t="str">
        <f>IF($AA62=0,"",INDEX('13 - DATA &amp; LISTS'!$AI$30:$AI$436,$AA62))</f>
        <v/>
      </c>
      <c r="AA62">
        <f>IF(COUNTIF('13 - DATA &amp; LISTS'!$AK$30:$AK$436,"&lt;999999999999")&lt;54,0,MATCH(SMALL('13 - DATA &amp; LISTS'!$AK$30:$AK$436,54),'13 - DATA &amp; LISTS'!$AK$30:$AK$436,0))</f>
        <v>0</v>
      </c>
    </row>
    <row r="63" spans="1:27" ht="63.95" customHeight="1">
      <c r="A63" s="10" t="str">
        <f>IF($AA63=0,"",INDEX('13 - DATA &amp; LISTS'!$Y$30:$Y$436,$AA63))</f>
        <v/>
      </c>
      <c r="B63" s="10" t="str">
        <f>IF($AA63=0,"",INDEX('13 - DATA &amp; LISTS'!$Z$30:$Z$436,$AA63))</f>
        <v/>
      </c>
      <c r="C63" s="10" t="str">
        <f>IF($AA63=0,"",INDEX('13 - DATA &amp; LISTS'!$AA$30:$AA$436,$AA63))</f>
        <v/>
      </c>
      <c r="D63" s="10" t="str">
        <f>IF($AA63=0,"",INDEX('13 - DATA &amp; LISTS'!$AB$30:$AB$436,$AA63))</f>
        <v/>
      </c>
      <c r="E63" s="10" t="str">
        <f>IF($AA63=0,"",INDEX('13 - DATA &amp; LISTS'!$AC$30:$AC$436,$AA63))</f>
        <v/>
      </c>
      <c r="F63" s="10" t="str">
        <f>IF($AA63=0,"",INDEX('13 - DATA &amp; LISTS'!$AD$30:$AD$436,$AA63))</f>
        <v/>
      </c>
      <c r="G63" s="10" t="str">
        <f>IF($AA63=0,"",INDEX('13 - DATA &amp; LISTS'!$AE$30:$AE$436,$AA63))</f>
        <v/>
      </c>
      <c r="H63" s="12" t="str">
        <f>IF($AA63=0,"",INDEX('13 - DATA &amp; LISTS'!$AF$30:$AF$436,$AA63))</f>
        <v/>
      </c>
      <c r="I63" s="10" t="str">
        <f>IF($AA63=0,"",INDEX('13 - DATA &amp; LISTS'!$AG$30:$AG$436,$AA63))</f>
        <v/>
      </c>
      <c r="J63" s="10" t="str">
        <f>IF($AA63=0,"",INDEX('13 - DATA &amp; LISTS'!$AH$30:$AH$436,$AA63))</f>
        <v/>
      </c>
      <c r="K63" s="10" t="str">
        <f>IF($AA63=0,"",INDEX('13 - DATA &amp; LISTS'!$AI$30:$AI$436,$AA63))</f>
        <v/>
      </c>
      <c r="AA63">
        <f>IF(COUNTIF('13 - DATA &amp; LISTS'!$AK$30:$AK$436,"&lt;999999999999")&lt;55,0,MATCH(SMALL('13 - DATA &amp; LISTS'!$AK$30:$AK$436,55),'13 - DATA &amp; LISTS'!$AK$30:$AK$436,0))</f>
        <v>0</v>
      </c>
    </row>
    <row r="64" spans="1:27" ht="63.95" customHeight="1">
      <c r="A64" s="10" t="str">
        <f>IF($AA64=0,"",INDEX('13 - DATA &amp; LISTS'!$Y$30:$Y$436,$AA64))</f>
        <v/>
      </c>
      <c r="B64" s="10" t="str">
        <f>IF($AA64=0,"",INDEX('13 - DATA &amp; LISTS'!$Z$30:$Z$436,$AA64))</f>
        <v/>
      </c>
      <c r="C64" s="10" t="str">
        <f>IF($AA64=0,"",INDEX('13 - DATA &amp; LISTS'!$AA$30:$AA$436,$AA64))</f>
        <v/>
      </c>
      <c r="D64" s="10" t="str">
        <f>IF($AA64=0,"",INDEX('13 - DATA &amp; LISTS'!$AB$30:$AB$436,$AA64))</f>
        <v/>
      </c>
      <c r="E64" s="10" t="str">
        <f>IF($AA64=0,"",INDEX('13 - DATA &amp; LISTS'!$AC$30:$AC$436,$AA64))</f>
        <v/>
      </c>
      <c r="F64" s="10" t="str">
        <f>IF($AA64=0,"",INDEX('13 - DATA &amp; LISTS'!$AD$30:$AD$436,$AA64))</f>
        <v/>
      </c>
      <c r="G64" s="10" t="str">
        <f>IF($AA64=0,"",INDEX('13 - DATA &amp; LISTS'!$AE$30:$AE$436,$AA64))</f>
        <v/>
      </c>
      <c r="H64" s="12" t="str">
        <f>IF($AA64=0,"",INDEX('13 - DATA &amp; LISTS'!$AF$30:$AF$436,$AA64))</f>
        <v/>
      </c>
      <c r="I64" s="10" t="str">
        <f>IF($AA64=0,"",INDEX('13 - DATA &amp; LISTS'!$AG$30:$AG$436,$AA64))</f>
        <v/>
      </c>
      <c r="J64" s="10" t="str">
        <f>IF($AA64=0,"",INDEX('13 - DATA &amp; LISTS'!$AH$30:$AH$436,$AA64))</f>
        <v/>
      </c>
      <c r="K64" s="10" t="str">
        <f>IF($AA64=0,"",INDEX('13 - DATA &amp; LISTS'!$AI$30:$AI$436,$AA64))</f>
        <v/>
      </c>
      <c r="AA64">
        <f>IF(COUNTIF('13 - DATA &amp; LISTS'!$AK$30:$AK$436,"&lt;999999999999")&lt;56,0,MATCH(SMALL('13 - DATA &amp; LISTS'!$AK$30:$AK$436,56),'13 - DATA &amp; LISTS'!$AK$30:$AK$436,0))</f>
        <v>0</v>
      </c>
    </row>
    <row r="65" spans="1:27" ht="63.95" customHeight="1">
      <c r="A65" s="10" t="str">
        <f>IF($AA65=0,"",INDEX('13 - DATA &amp; LISTS'!$Y$30:$Y$436,$AA65))</f>
        <v/>
      </c>
      <c r="B65" s="10" t="str">
        <f>IF($AA65=0,"",INDEX('13 - DATA &amp; LISTS'!$Z$30:$Z$436,$AA65))</f>
        <v/>
      </c>
      <c r="C65" s="10" t="str">
        <f>IF($AA65=0,"",INDEX('13 - DATA &amp; LISTS'!$AA$30:$AA$436,$AA65))</f>
        <v/>
      </c>
      <c r="D65" s="10" t="str">
        <f>IF($AA65=0,"",INDEX('13 - DATA &amp; LISTS'!$AB$30:$AB$436,$AA65))</f>
        <v/>
      </c>
      <c r="E65" s="10" t="str">
        <f>IF($AA65=0,"",INDEX('13 - DATA &amp; LISTS'!$AC$30:$AC$436,$AA65))</f>
        <v/>
      </c>
      <c r="F65" s="10" t="str">
        <f>IF($AA65=0,"",INDEX('13 - DATA &amp; LISTS'!$AD$30:$AD$436,$AA65))</f>
        <v/>
      </c>
      <c r="G65" s="10" t="str">
        <f>IF($AA65=0,"",INDEX('13 - DATA &amp; LISTS'!$AE$30:$AE$436,$AA65))</f>
        <v/>
      </c>
      <c r="H65" s="12" t="str">
        <f>IF($AA65=0,"",INDEX('13 - DATA &amp; LISTS'!$AF$30:$AF$436,$AA65))</f>
        <v/>
      </c>
      <c r="I65" s="10" t="str">
        <f>IF($AA65=0,"",INDEX('13 - DATA &amp; LISTS'!$AG$30:$AG$436,$AA65))</f>
        <v/>
      </c>
      <c r="J65" s="10" t="str">
        <f>IF($AA65=0,"",INDEX('13 - DATA &amp; LISTS'!$AH$30:$AH$436,$AA65))</f>
        <v/>
      </c>
      <c r="K65" s="10" t="str">
        <f>IF($AA65=0,"",INDEX('13 - DATA &amp; LISTS'!$AI$30:$AI$436,$AA65))</f>
        <v/>
      </c>
      <c r="AA65">
        <f>IF(COUNTIF('13 - DATA &amp; LISTS'!$AK$30:$AK$436,"&lt;999999999999")&lt;57,0,MATCH(SMALL('13 - DATA &amp; LISTS'!$AK$30:$AK$436,57),'13 - DATA &amp; LISTS'!$AK$30:$AK$436,0))</f>
        <v>0</v>
      </c>
    </row>
    <row r="66" spans="1:27" ht="63.95" customHeight="1">
      <c r="A66" s="10" t="str">
        <f>IF($AA66=0,"",INDEX('13 - DATA &amp; LISTS'!$Y$30:$Y$436,$AA66))</f>
        <v/>
      </c>
      <c r="B66" s="10" t="str">
        <f>IF($AA66=0,"",INDEX('13 - DATA &amp; LISTS'!$Z$30:$Z$436,$AA66))</f>
        <v/>
      </c>
      <c r="C66" s="10" t="str">
        <f>IF($AA66=0,"",INDEX('13 - DATA &amp; LISTS'!$AA$30:$AA$436,$AA66))</f>
        <v/>
      </c>
      <c r="D66" s="10" t="str">
        <f>IF($AA66=0,"",INDEX('13 - DATA &amp; LISTS'!$AB$30:$AB$436,$AA66))</f>
        <v/>
      </c>
      <c r="E66" s="10" t="str">
        <f>IF($AA66=0,"",INDEX('13 - DATA &amp; LISTS'!$AC$30:$AC$436,$AA66))</f>
        <v/>
      </c>
      <c r="F66" s="10" t="str">
        <f>IF($AA66=0,"",INDEX('13 - DATA &amp; LISTS'!$AD$30:$AD$436,$AA66))</f>
        <v/>
      </c>
      <c r="G66" s="10" t="str">
        <f>IF($AA66=0,"",INDEX('13 - DATA &amp; LISTS'!$AE$30:$AE$436,$AA66))</f>
        <v/>
      </c>
      <c r="H66" s="12" t="str">
        <f>IF($AA66=0,"",INDEX('13 - DATA &amp; LISTS'!$AF$30:$AF$436,$AA66))</f>
        <v/>
      </c>
      <c r="I66" s="10" t="str">
        <f>IF($AA66=0,"",INDEX('13 - DATA &amp; LISTS'!$AG$30:$AG$436,$AA66))</f>
        <v/>
      </c>
      <c r="J66" s="10" t="str">
        <f>IF($AA66=0,"",INDEX('13 - DATA &amp; LISTS'!$AH$30:$AH$436,$AA66))</f>
        <v/>
      </c>
      <c r="K66" s="10" t="str">
        <f>IF($AA66=0,"",INDEX('13 - DATA &amp; LISTS'!$AI$30:$AI$436,$AA66))</f>
        <v/>
      </c>
      <c r="AA66">
        <f>IF(COUNTIF('13 - DATA &amp; LISTS'!$AK$30:$AK$436,"&lt;999999999999")&lt;58,0,MATCH(SMALL('13 - DATA &amp; LISTS'!$AK$30:$AK$436,58),'13 - DATA &amp; LISTS'!$AK$30:$AK$436,0))</f>
        <v>0</v>
      </c>
    </row>
    <row r="67" spans="1:27" ht="63.95" customHeight="1">
      <c r="A67" s="10" t="str">
        <f>IF($AA67=0,"",INDEX('13 - DATA &amp; LISTS'!$Y$30:$Y$436,$AA67))</f>
        <v/>
      </c>
      <c r="B67" s="10" t="str">
        <f>IF($AA67=0,"",INDEX('13 - DATA &amp; LISTS'!$Z$30:$Z$436,$AA67))</f>
        <v/>
      </c>
      <c r="C67" s="10" t="str">
        <f>IF($AA67=0,"",INDEX('13 - DATA &amp; LISTS'!$AA$30:$AA$436,$AA67))</f>
        <v/>
      </c>
      <c r="D67" s="10" t="str">
        <f>IF($AA67=0,"",INDEX('13 - DATA &amp; LISTS'!$AB$30:$AB$436,$AA67))</f>
        <v/>
      </c>
      <c r="E67" s="10" t="str">
        <f>IF($AA67=0,"",INDEX('13 - DATA &amp; LISTS'!$AC$30:$AC$436,$AA67))</f>
        <v/>
      </c>
      <c r="F67" s="10" t="str">
        <f>IF($AA67=0,"",INDEX('13 - DATA &amp; LISTS'!$AD$30:$AD$436,$AA67))</f>
        <v/>
      </c>
      <c r="G67" s="10" t="str">
        <f>IF($AA67=0,"",INDEX('13 - DATA &amp; LISTS'!$AE$30:$AE$436,$AA67))</f>
        <v/>
      </c>
      <c r="H67" s="12" t="str">
        <f>IF($AA67=0,"",INDEX('13 - DATA &amp; LISTS'!$AF$30:$AF$436,$AA67))</f>
        <v/>
      </c>
      <c r="I67" s="10" t="str">
        <f>IF($AA67=0,"",INDEX('13 - DATA &amp; LISTS'!$AG$30:$AG$436,$AA67))</f>
        <v/>
      </c>
      <c r="J67" s="10" t="str">
        <f>IF($AA67=0,"",INDEX('13 - DATA &amp; LISTS'!$AH$30:$AH$436,$AA67))</f>
        <v/>
      </c>
      <c r="K67" s="10" t="str">
        <f>IF($AA67=0,"",INDEX('13 - DATA &amp; LISTS'!$AI$30:$AI$436,$AA67))</f>
        <v/>
      </c>
      <c r="AA67">
        <f>IF(COUNTIF('13 - DATA &amp; LISTS'!$AK$30:$AK$436,"&lt;999999999999")&lt;59,0,MATCH(SMALL('13 - DATA &amp; LISTS'!$AK$30:$AK$436,59),'13 - DATA &amp; LISTS'!$AK$30:$AK$436,0))</f>
        <v>0</v>
      </c>
    </row>
    <row r="68" spans="1:27" ht="63.95" customHeight="1">
      <c r="A68" s="10" t="str">
        <f>IF($AA68=0,"",INDEX('13 - DATA &amp; LISTS'!$Y$30:$Y$436,$AA68))</f>
        <v/>
      </c>
      <c r="B68" s="10" t="str">
        <f>IF($AA68=0,"",INDEX('13 - DATA &amp; LISTS'!$Z$30:$Z$436,$AA68))</f>
        <v/>
      </c>
      <c r="C68" s="10" t="str">
        <f>IF($AA68=0,"",INDEX('13 - DATA &amp; LISTS'!$AA$30:$AA$436,$AA68))</f>
        <v/>
      </c>
      <c r="D68" s="10" t="str">
        <f>IF($AA68=0,"",INDEX('13 - DATA &amp; LISTS'!$AB$30:$AB$436,$AA68))</f>
        <v/>
      </c>
      <c r="E68" s="10" t="str">
        <f>IF($AA68=0,"",INDEX('13 - DATA &amp; LISTS'!$AC$30:$AC$436,$AA68))</f>
        <v/>
      </c>
      <c r="F68" s="10" t="str">
        <f>IF($AA68=0,"",INDEX('13 - DATA &amp; LISTS'!$AD$30:$AD$436,$AA68))</f>
        <v/>
      </c>
      <c r="G68" s="10" t="str">
        <f>IF($AA68=0,"",INDEX('13 - DATA &amp; LISTS'!$AE$30:$AE$436,$AA68))</f>
        <v/>
      </c>
      <c r="H68" s="12" t="str">
        <f>IF($AA68=0,"",INDEX('13 - DATA &amp; LISTS'!$AF$30:$AF$436,$AA68))</f>
        <v/>
      </c>
      <c r="I68" s="10" t="str">
        <f>IF($AA68=0,"",INDEX('13 - DATA &amp; LISTS'!$AG$30:$AG$436,$AA68))</f>
        <v/>
      </c>
      <c r="J68" s="10" t="str">
        <f>IF($AA68=0,"",INDEX('13 - DATA &amp; LISTS'!$AH$30:$AH$436,$AA68))</f>
        <v/>
      </c>
      <c r="K68" s="10" t="str">
        <f>IF($AA68=0,"",INDEX('13 - DATA &amp; LISTS'!$AI$30:$AI$436,$AA68))</f>
        <v/>
      </c>
      <c r="AA68">
        <f>IF(COUNTIF('13 - DATA &amp; LISTS'!$AK$30:$AK$436,"&lt;999999999999")&lt;60,0,MATCH(SMALL('13 - DATA &amp; LISTS'!$AK$30:$AK$436,60),'13 - DATA &amp; LISTS'!$AK$30:$AK$436,0))</f>
        <v>0</v>
      </c>
    </row>
    <row r="69" spans="1:27" ht="63.95" customHeight="1">
      <c r="A69" s="10" t="str">
        <f>IF($AA69=0,"",INDEX('13 - DATA &amp; LISTS'!$Y$30:$Y$436,$AA69))</f>
        <v/>
      </c>
      <c r="B69" s="10" t="str">
        <f>IF($AA69=0,"",INDEX('13 - DATA &amp; LISTS'!$Z$30:$Z$436,$AA69))</f>
        <v/>
      </c>
      <c r="C69" s="10" t="str">
        <f>IF($AA69=0,"",INDEX('13 - DATA &amp; LISTS'!$AA$30:$AA$436,$AA69))</f>
        <v/>
      </c>
      <c r="D69" s="10" t="str">
        <f>IF($AA69=0,"",INDEX('13 - DATA &amp; LISTS'!$AB$30:$AB$436,$AA69))</f>
        <v/>
      </c>
      <c r="E69" s="10" t="str">
        <f>IF($AA69=0,"",INDEX('13 - DATA &amp; LISTS'!$AC$30:$AC$436,$AA69))</f>
        <v/>
      </c>
      <c r="F69" s="10" t="str">
        <f>IF($AA69=0,"",INDEX('13 - DATA &amp; LISTS'!$AD$30:$AD$436,$AA69))</f>
        <v/>
      </c>
      <c r="G69" s="10" t="str">
        <f>IF($AA69=0,"",INDEX('13 - DATA &amp; LISTS'!$AE$30:$AE$436,$AA69))</f>
        <v/>
      </c>
      <c r="H69" s="12" t="str">
        <f>IF($AA69=0,"",INDEX('13 - DATA &amp; LISTS'!$AF$30:$AF$436,$AA69))</f>
        <v/>
      </c>
      <c r="I69" s="10" t="str">
        <f>IF($AA69=0,"",INDEX('13 - DATA &amp; LISTS'!$AG$30:$AG$436,$AA69))</f>
        <v/>
      </c>
      <c r="J69" s="10" t="str">
        <f>IF($AA69=0,"",INDEX('13 - DATA &amp; LISTS'!$AH$30:$AH$436,$AA69))</f>
        <v/>
      </c>
      <c r="K69" s="10" t="str">
        <f>IF($AA69=0,"",INDEX('13 - DATA &amp; LISTS'!$AI$30:$AI$436,$AA69))</f>
        <v/>
      </c>
      <c r="AA69">
        <f>IF(COUNTIF('13 - DATA &amp; LISTS'!$AK$30:$AK$436,"&lt;999999999999")&lt;61,0,MATCH(SMALL('13 - DATA &amp; LISTS'!$AK$30:$AK$436,61),'13 - DATA &amp; LISTS'!$AK$30:$AK$436,0))</f>
        <v>0</v>
      </c>
    </row>
    <row r="70" spans="1:27" ht="63.95" customHeight="1">
      <c r="A70" s="10" t="str">
        <f>IF($AA70=0,"",INDEX('13 - DATA &amp; LISTS'!$Y$30:$Y$436,$AA70))</f>
        <v/>
      </c>
      <c r="B70" s="10" t="str">
        <f>IF($AA70=0,"",INDEX('13 - DATA &amp; LISTS'!$Z$30:$Z$436,$AA70))</f>
        <v/>
      </c>
      <c r="C70" s="10" t="str">
        <f>IF($AA70=0,"",INDEX('13 - DATA &amp; LISTS'!$AA$30:$AA$436,$AA70))</f>
        <v/>
      </c>
      <c r="D70" s="10" t="str">
        <f>IF($AA70=0,"",INDEX('13 - DATA &amp; LISTS'!$AB$30:$AB$436,$AA70))</f>
        <v/>
      </c>
      <c r="E70" s="10" t="str">
        <f>IF($AA70=0,"",INDEX('13 - DATA &amp; LISTS'!$AC$30:$AC$436,$AA70))</f>
        <v/>
      </c>
      <c r="F70" s="10" t="str">
        <f>IF($AA70=0,"",INDEX('13 - DATA &amp; LISTS'!$AD$30:$AD$436,$AA70))</f>
        <v/>
      </c>
      <c r="G70" s="10" t="str">
        <f>IF($AA70=0,"",INDEX('13 - DATA &amp; LISTS'!$AE$30:$AE$436,$AA70))</f>
        <v/>
      </c>
      <c r="H70" s="12" t="str">
        <f>IF($AA70=0,"",INDEX('13 - DATA &amp; LISTS'!$AF$30:$AF$436,$AA70))</f>
        <v/>
      </c>
      <c r="I70" s="10" t="str">
        <f>IF($AA70=0,"",INDEX('13 - DATA &amp; LISTS'!$AG$30:$AG$436,$AA70))</f>
        <v/>
      </c>
      <c r="J70" s="10" t="str">
        <f>IF($AA70=0,"",INDEX('13 - DATA &amp; LISTS'!$AH$30:$AH$436,$AA70))</f>
        <v/>
      </c>
      <c r="K70" s="10" t="str">
        <f>IF($AA70=0,"",INDEX('13 - DATA &amp; LISTS'!$AI$30:$AI$436,$AA70))</f>
        <v/>
      </c>
      <c r="AA70">
        <f>IF(COUNTIF('13 - DATA &amp; LISTS'!$AK$30:$AK$436,"&lt;999999999999")&lt;62,0,MATCH(SMALL('13 - DATA &amp; LISTS'!$AK$30:$AK$436,62),'13 - DATA &amp; LISTS'!$AK$30:$AK$436,0))</f>
        <v>0</v>
      </c>
    </row>
    <row r="71" spans="1:27" ht="63.95" customHeight="1">
      <c r="A71" s="10" t="str">
        <f>IF($AA71=0,"",INDEX('13 - DATA &amp; LISTS'!$Y$30:$Y$436,$AA71))</f>
        <v/>
      </c>
      <c r="B71" s="10" t="str">
        <f>IF($AA71=0,"",INDEX('13 - DATA &amp; LISTS'!$Z$30:$Z$436,$AA71))</f>
        <v/>
      </c>
      <c r="C71" s="10" t="str">
        <f>IF($AA71=0,"",INDEX('13 - DATA &amp; LISTS'!$AA$30:$AA$436,$AA71))</f>
        <v/>
      </c>
      <c r="D71" s="10" t="str">
        <f>IF($AA71=0,"",INDEX('13 - DATA &amp; LISTS'!$AB$30:$AB$436,$AA71))</f>
        <v/>
      </c>
      <c r="E71" s="10" t="str">
        <f>IF($AA71=0,"",INDEX('13 - DATA &amp; LISTS'!$AC$30:$AC$436,$AA71))</f>
        <v/>
      </c>
      <c r="F71" s="10" t="str">
        <f>IF($AA71=0,"",INDEX('13 - DATA &amp; LISTS'!$AD$30:$AD$436,$AA71))</f>
        <v/>
      </c>
      <c r="G71" s="10" t="str">
        <f>IF($AA71=0,"",INDEX('13 - DATA &amp; LISTS'!$AE$30:$AE$436,$AA71))</f>
        <v/>
      </c>
      <c r="H71" s="12" t="str">
        <f>IF($AA71=0,"",INDEX('13 - DATA &amp; LISTS'!$AF$30:$AF$436,$AA71))</f>
        <v/>
      </c>
      <c r="I71" s="10" t="str">
        <f>IF($AA71=0,"",INDEX('13 - DATA &amp; LISTS'!$AG$30:$AG$436,$AA71))</f>
        <v/>
      </c>
      <c r="J71" s="10" t="str">
        <f>IF($AA71=0,"",INDEX('13 - DATA &amp; LISTS'!$AH$30:$AH$436,$AA71))</f>
        <v/>
      </c>
      <c r="K71" s="10" t="str">
        <f>IF($AA71=0,"",INDEX('13 - DATA &amp; LISTS'!$AI$30:$AI$436,$AA71))</f>
        <v/>
      </c>
      <c r="AA71">
        <f>IF(COUNTIF('13 - DATA &amp; LISTS'!$AK$30:$AK$436,"&lt;999999999999")&lt;63,0,MATCH(SMALL('13 - DATA &amp; LISTS'!$AK$30:$AK$436,63),'13 - DATA &amp; LISTS'!$AK$30:$AK$436,0))</f>
        <v>0</v>
      </c>
    </row>
    <row r="72" spans="1:27" ht="63.95" customHeight="1">
      <c r="A72" s="10" t="str">
        <f>IF($AA72=0,"",INDEX('13 - DATA &amp; LISTS'!$Y$30:$Y$436,$AA72))</f>
        <v/>
      </c>
      <c r="B72" s="10" t="str">
        <f>IF($AA72=0,"",INDEX('13 - DATA &amp; LISTS'!$Z$30:$Z$436,$AA72))</f>
        <v/>
      </c>
      <c r="C72" s="10" t="str">
        <f>IF($AA72=0,"",INDEX('13 - DATA &amp; LISTS'!$AA$30:$AA$436,$AA72))</f>
        <v/>
      </c>
      <c r="D72" s="10" t="str">
        <f>IF($AA72=0,"",INDEX('13 - DATA &amp; LISTS'!$AB$30:$AB$436,$AA72))</f>
        <v/>
      </c>
      <c r="E72" s="10" t="str">
        <f>IF($AA72=0,"",INDEX('13 - DATA &amp; LISTS'!$AC$30:$AC$436,$AA72))</f>
        <v/>
      </c>
      <c r="F72" s="10" t="str">
        <f>IF($AA72=0,"",INDEX('13 - DATA &amp; LISTS'!$AD$30:$AD$436,$AA72))</f>
        <v/>
      </c>
      <c r="G72" s="10" t="str">
        <f>IF($AA72=0,"",INDEX('13 - DATA &amp; LISTS'!$AE$30:$AE$436,$AA72))</f>
        <v/>
      </c>
      <c r="H72" s="12" t="str">
        <f>IF($AA72=0,"",INDEX('13 - DATA &amp; LISTS'!$AF$30:$AF$436,$AA72))</f>
        <v/>
      </c>
      <c r="I72" s="10" t="str">
        <f>IF($AA72=0,"",INDEX('13 - DATA &amp; LISTS'!$AG$30:$AG$436,$AA72))</f>
        <v/>
      </c>
      <c r="J72" s="10" t="str">
        <f>IF($AA72=0,"",INDEX('13 - DATA &amp; LISTS'!$AH$30:$AH$436,$AA72))</f>
        <v/>
      </c>
      <c r="K72" s="10" t="str">
        <f>IF($AA72=0,"",INDEX('13 - DATA &amp; LISTS'!$AI$30:$AI$436,$AA72))</f>
        <v/>
      </c>
      <c r="AA72">
        <f>IF(COUNTIF('13 - DATA &amp; LISTS'!$AK$30:$AK$436,"&lt;999999999999")&lt;64,0,MATCH(SMALL('13 - DATA &amp; LISTS'!$AK$30:$AK$436,64),'13 - DATA &amp; LISTS'!$AK$30:$AK$436,0))</f>
        <v>0</v>
      </c>
    </row>
    <row r="73" spans="1:27" ht="63.95" customHeight="1">
      <c r="A73" s="10" t="str">
        <f>IF($AA73=0,"",INDEX('13 - DATA &amp; LISTS'!$Y$30:$Y$436,$AA73))</f>
        <v/>
      </c>
      <c r="B73" s="10" t="str">
        <f>IF($AA73=0,"",INDEX('13 - DATA &amp; LISTS'!$Z$30:$Z$436,$AA73))</f>
        <v/>
      </c>
      <c r="C73" s="10" t="str">
        <f>IF($AA73=0,"",INDEX('13 - DATA &amp; LISTS'!$AA$30:$AA$436,$AA73))</f>
        <v/>
      </c>
      <c r="D73" s="10" t="str">
        <f>IF($AA73=0,"",INDEX('13 - DATA &amp; LISTS'!$AB$30:$AB$436,$AA73))</f>
        <v/>
      </c>
      <c r="E73" s="10" t="str">
        <f>IF($AA73=0,"",INDEX('13 - DATA &amp; LISTS'!$AC$30:$AC$436,$AA73))</f>
        <v/>
      </c>
      <c r="F73" s="10" t="str">
        <f>IF($AA73=0,"",INDEX('13 - DATA &amp; LISTS'!$AD$30:$AD$436,$AA73))</f>
        <v/>
      </c>
      <c r="G73" s="10" t="str">
        <f>IF($AA73=0,"",INDEX('13 - DATA &amp; LISTS'!$AE$30:$AE$436,$AA73))</f>
        <v/>
      </c>
      <c r="H73" s="12" t="str">
        <f>IF($AA73=0,"",INDEX('13 - DATA &amp; LISTS'!$AF$30:$AF$436,$AA73))</f>
        <v/>
      </c>
      <c r="I73" s="10" t="str">
        <f>IF($AA73=0,"",INDEX('13 - DATA &amp; LISTS'!$AG$30:$AG$436,$AA73))</f>
        <v/>
      </c>
      <c r="J73" s="10" t="str">
        <f>IF($AA73=0,"",INDEX('13 - DATA &amp; LISTS'!$AH$30:$AH$436,$AA73))</f>
        <v/>
      </c>
      <c r="K73" s="10" t="str">
        <f>IF($AA73=0,"",INDEX('13 - DATA &amp; LISTS'!$AI$30:$AI$436,$AA73))</f>
        <v/>
      </c>
      <c r="AA73">
        <f>IF(COUNTIF('13 - DATA &amp; LISTS'!$AK$30:$AK$436,"&lt;999999999999")&lt;65,0,MATCH(SMALL('13 - DATA &amp; LISTS'!$AK$30:$AK$436,65),'13 - DATA &amp; LISTS'!$AK$30:$AK$436,0))</f>
        <v>0</v>
      </c>
    </row>
    <row r="74" spans="1:27" ht="63.95" customHeight="1">
      <c r="A74" s="10" t="str">
        <f>IF($AA74=0,"",INDEX('13 - DATA &amp; LISTS'!$Y$30:$Y$436,$AA74))</f>
        <v/>
      </c>
      <c r="B74" s="10" t="str">
        <f>IF($AA74=0,"",INDEX('13 - DATA &amp; LISTS'!$Z$30:$Z$436,$AA74))</f>
        <v/>
      </c>
      <c r="C74" s="10" t="str">
        <f>IF($AA74=0,"",INDEX('13 - DATA &amp; LISTS'!$AA$30:$AA$436,$AA74))</f>
        <v/>
      </c>
      <c r="D74" s="10" t="str">
        <f>IF($AA74=0,"",INDEX('13 - DATA &amp; LISTS'!$AB$30:$AB$436,$AA74))</f>
        <v/>
      </c>
      <c r="E74" s="10" t="str">
        <f>IF($AA74=0,"",INDEX('13 - DATA &amp; LISTS'!$AC$30:$AC$436,$AA74))</f>
        <v/>
      </c>
      <c r="F74" s="10" t="str">
        <f>IF($AA74=0,"",INDEX('13 - DATA &amp; LISTS'!$AD$30:$AD$436,$AA74))</f>
        <v/>
      </c>
      <c r="G74" s="10" t="str">
        <f>IF($AA74=0,"",INDEX('13 - DATA &amp; LISTS'!$AE$30:$AE$436,$AA74))</f>
        <v/>
      </c>
      <c r="H74" s="12" t="str">
        <f>IF($AA74=0,"",INDEX('13 - DATA &amp; LISTS'!$AF$30:$AF$436,$AA74))</f>
        <v/>
      </c>
      <c r="I74" s="10" t="str">
        <f>IF($AA74=0,"",INDEX('13 - DATA &amp; LISTS'!$AG$30:$AG$436,$AA74))</f>
        <v/>
      </c>
      <c r="J74" s="10" t="str">
        <f>IF($AA74=0,"",INDEX('13 - DATA &amp; LISTS'!$AH$30:$AH$436,$AA74))</f>
        <v/>
      </c>
      <c r="K74" s="10" t="str">
        <f>IF($AA74=0,"",INDEX('13 - DATA &amp; LISTS'!$AI$30:$AI$436,$AA74))</f>
        <v/>
      </c>
      <c r="AA74">
        <f>IF(COUNTIF('13 - DATA &amp; LISTS'!$AK$30:$AK$436,"&lt;999999999999")&lt;66,0,MATCH(SMALL('13 - DATA &amp; LISTS'!$AK$30:$AK$436,66),'13 - DATA &amp; LISTS'!$AK$30:$AK$436,0))</f>
        <v>0</v>
      </c>
    </row>
    <row r="75" spans="1:27" ht="63.95" customHeight="1">
      <c r="A75" s="10" t="str">
        <f>IF($AA75=0,"",INDEX('13 - DATA &amp; LISTS'!$Y$30:$Y$436,$AA75))</f>
        <v/>
      </c>
      <c r="B75" s="10" t="str">
        <f>IF($AA75=0,"",INDEX('13 - DATA &amp; LISTS'!$Z$30:$Z$436,$AA75))</f>
        <v/>
      </c>
      <c r="C75" s="10" t="str">
        <f>IF($AA75=0,"",INDEX('13 - DATA &amp; LISTS'!$AA$30:$AA$436,$AA75))</f>
        <v/>
      </c>
      <c r="D75" s="10" t="str">
        <f>IF($AA75=0,"",INDEX('13 - DATA &amp; LISTS'!$AB$30:$AB$436,$AA75))</f>
        <v/>
      </c>
      <c r="E75" s="10" t="str">
        <f>IF($AA75=0,"",INDEX('13 - DATA &amp; LISTS'!$AC$30:$AC$436,$AA75))</f>
        <v/>
      </c>
      <c r="F75" s="10" t="str">
        <f>IF($AA75=0,"",INDEX('13 - DATA &amp; LISTS'!$AD$30:$AD$436,$AA75))</f>
        <v/>
      </c>
      <c r="G75" s="10" t="str">
        <f>IF($AA75=0,"",INDEX('13 - DATA &amp; LISTS'!$AE$30:$AE$436,$AA75))</f>
        <v/>
      </c>
      <c r="H75" s="12" t="str">
        <f>IF($AA75=0,"",INDEX('13 - DATA &amp; LISTS'!$AF$30:$AF$436,$AA75))</f>
        <v/>
      </c>
      <c r="I75" s="10" t="str">
        <f>IF($AA75=0,"",INDEX('13 - DATA &amp; LISTS'!$AG$30:$AG$436,$AA75))</f>
        <v/>
      </c>
      <c r="J75" s="10" t="str">
        <f>IF($AA75=0,"",INDEX('13 - DATA &amp; LISTS'!$AH$30:$AH$436,$AA75))</f>
        <v/>
      </c>
      <c r="K75" s="10" t="str">
        <f>IF($AA75=0,"",INDEX('13 - DATA &amp; LISTS'!$AI$30:$AI$436,$AA75))</f>
        <v/>
      </c>
      <c r="AA75">
        <f>IF(COUNTIF('13 - DATA &amp; LISTS'!$AK$30:$AK$436,"&lt;999999999999")&lt;67,0,MATCH(SMALL('13 - DATA &amp; LISTS'!$AK$30:$AK$436,67),'13 - DATA &amp; LISTS'!$AK$30:$AK$436,0))</f>
        <v>0</v>
      </c>
    </row>
    <row r="76" spans="1:27" ht="63.95" customHeight="1">
      <c r="A76" s="18" t="str">
        <f>IF($AA76=0,"",INDEX('13 - DATA &amp; LISTS'!$Y$30:$Y$436,$AA76))</f>
        <v/>
      </c>
      <c r="B76" s="18" t="str">
        <f>IF($AA76=0,"",INDEX('13 - DATA &amp; LISTS'!$Z$30:$Z$436,$AA76))</f>
        <v/>
      </c>
      <c r="C76" s="18" t="str">
        <f>IF($AA76=0,"",INDEX('13 - DATA &amp; LISTS'!$AA$30:$AA$436,$AA76))</f>
        <v/>
      </c>
      <c r="D76" s="18" t="str">
        <f>IF($AA76=0,"",INDEX('13 - DATA &amp; LISTS'!$AB$30:$AB$436,$AA76))</f>
        <v/>
      </c>
      <c r="E76" s="18" t="str">
        <f>IF($AA76=0,"",INDEX('13 - DATA &amp; LISTS'!$AC$30:$AC$436,$AA76))</f>
        <v/>
      </c>
      <c r="F76" s="18" t="str">
        <f>IF($AA76=0,"",INDEX('13 - DATA &amp; LISTS'!$AD$30:$AD$436,$AA76))</f>
        <v/>
      </c>
      <c r="G76" s="18" t="str">
        <f>IF($AA76=0,"",INDEX('13 - DATA &amp; LISTS'!$AE$30:$AE$436,$AA76))</f>
        <v/>
      </c>
      <c r="H76" s="19" t="str">
        <f>IF($AA76=0,"",INDEX('13 - DATA &amp; LISTS'!$AF$30:$AF$436,$AA76))</f>
        <v/>
      </c>
      <c r="I76" s="18" t="str">
        <f>IF($AA76=0,"",INDEX('13 - DATA &amp; LISTS'!$AG$30:$AG$436,$AA76))</f>
        <v/>
      </c>
      <c r="J76" s="18" t="str">
        <f>IF($AA76=0,"",INDEX('13 - DATA &amp; LISTS'!$AH$30:$AH$436,$AA76))</f>
        <v/>
      </c>
      <c r="K76" s="18" t="str">
        <f>IF($AA76=0,"",INDEX('13 - DATA &amp; LISTS'!$AI$30:$AI$436,$AA76))</f>
        <v/>
      </c>
      <c r="AA76">
        <f>IF(COUNTIF('13 - DATA &amp; LISTS'!$AK$30:$AK$436,"&lt;999999999999")&lt;68,0,MATCH(SMALL('13 - DATA &amp; LISTS'!$AK$30:$AK$436,68),'13 - DATA &amp; LISTS'!$AK$30:$AK$436,0))</f>
        <v>0</v>
      </c>
    </row>
    <row r="77" spans="1:27" ht="63.95" customHeight="1">
      <c r="A77" s="18" t="str">
        <f>IF($AA77=0,"",INDEX('13 - DATA &amp; LISTS'!$Y$30:$Y$436,$AA77))</f>
        <v/>
      </c>
      <c r="B77" s="18" t="str">
        <f>IF($AA77=0,"",INDEX('13 - DATA &amp; LISTS'!$Z$30:$Z$436,$AA77))</f>
        <v/>
      </c>
      <c r="C77" s="18" t="str">
        <f>IF($AA77=0,"",INDEX('13 - DATA &amp; LISTS'!$AA$30:$AA$436,$AA77))</f>
        <v/>
      </c>
      <c r="D77" s="18" t="str">
        <f>IF($AA77=0,"",INDEX('13 - DATA &amp; LISTS'!$AB$30:$AB$436,$AA77))</f>
        <v/>
      </c>
      <c r="E77" s="18" t="str">
        <f>IF($AA77=0,"",INDEX('13 - DATA &amp; LISTS'!$AC$30:$AC$436,$AA77))</f>
        <v/>
      </c>
      <c r="F77" s="18" t="str">
        <f>IF($AA77=0,"",INDEX('13 - DATA &amp; LISTS'!$AD$30:$AD$436,$AA77))</f>
        <v/>
      </c>
      <c r="G77" s="18" t="str">
        <f>IF($AA77=0,"",INDEX('13 - DATA &amp; LISTS'!$AE$30:$AE$436,$AA77))</f>
        <v/>
      </c>
      <c r="H77" s="19" t="str">
        <f>IF($AA77=0,"",INDEX('13 - DATA &amp; LISTS'!$AF$30:$AF$436,$AA77))</f>
        <v/>
      </c>
      <c r="I77" s="18" t="str">
        <f>IF($AA77=0,"",INDEX('13 - DATA &amp; LISTS'!$AG$30:$AG$436,$AA77))</f>
        <v/>
      </c>
      <c r="J77" s="18" t="str">
        <f>IF($AA77=0,"",INDEX('13 - DATA &amp; LISTS'!$AH$30:$AH$436,$AA77))</f>
        <v/>
      </c>
      <c r="K77" s="18" t="str">
        <f>IF($AA77=0,"",INDEX('13 - DATA &amp; LISTS'!$AI$30:$AI$436,$AA77))</f>
        <v/>
      </c>
      <c r="AA77">
        <f>IF(COUNTIF('13 - DATA &amp; LISTS'!$AK$30:$AK$436,"&lt;999999999999")&lt;69,0,MATCH(SMALL('13 - DATA &amp; LISTS'!$AK$30:$AK$436,69),'13 - DATA &amp; LISTS'!$AK$30:$AK$436,0))</f>
        <v>0</v>
      </c>
    </row>
    <row r="78" spans="1:27" ht="63.95" customHeight="1">
      <c r="A78" s="18" t="str">
        <f>IF($AA78=0,"",INDEX('13 - DATA &amp; LISTS'!$Y$30:$Y$436,$AA78))</f>
        <v/>
      </c>
      <c r="B78" s="18" t="str">
        <f>IF($AA78=0,"",INDEX('13 - DATA &amp; LISTS'!$Z$30:$Z$436,$AA78))</f>
        <v/>
      </c>
      <c r="C78" s="18" t="str">
        <f>IF($AA78=0,"",INDEX('13 - DATA &amp; LISTS'!$AA$30:$AA$436,$AA78))</f>
        <v/>
      </c>
      <c r="D78" s="18" t="str">
        <f>IF($AA78=0,"",INDEX('13 - DATA &amp; LISTS'!$AB$30:$AB$436,$AA78))</f>
        <v/>
      </c>
      <c r="E78" s="18" t="str">
        <f>IF($AA78=0,"",INDEX('13 - DATA &amp; LISTS'!$AC$30:$AC$436,$AA78))</f>
        <v/>
      </c>
      <c r="F78" s="18" t="str">
        <f>IF($AA78=0,"",INDEX('13 - DATA &amp; LISTS'!$AD$30:$AD$436,$AA78))</f>
        <v/>
      </c>
      <c r="G78" s="18" t="str">
        <f>IF($AA78=0,"",INDEX('13 - DATA &amp; LISTS'!$AE$30:$AE$436,$AA78))</f>
        <v/>
      </c>
      <c r="H78" s="19" t="str">
        <f>IF($AA78=0,"",INDEX('13 - DATA &amp; LISTS'!$AF$30:$AF$436,$AA78))</f>
        <v/>
      </c>
      <c r="I78" s="18" t="str">
        <f>IF($AA78=0,"",INDEX('13 - DATA &amp; LISTS'!$AG$30:$AG$436,$AA78))</f>
        <v/>
      </c>
      <c r="J78" s="18" t="str">
        <f>IF($AA78=0,"",INDEX('13 - DATA &amp; LISTS'!$AH$30:$AH$436,$AA78))</f>
        <v/>
      </c>
      <c r="K78" s="18" t="str">
        <f>IF($AA78=0,"",INDEX('13 - DATA &amp; LISTS'!$AI$30:$AI$436,$AA78))</f>
        <v/>
      </c>
      <c r="AA78">
        <f>IF(COUNTIF('13 - DATA &amp; LISTS'!$AK$30:$AK$436,"&lt;999999999999")&lt;70,0,MATCH(SMALL('13 - DATA &amp; LISTS'!$AK$30:$AK$436,70),'13 - DATA &amp; LISTS'!$AK$30:$AK$436,0))</f>
        <v>0</v>
      </c>
    </row>
    <row r="79" spans="1:27" ht="63.95" customHeight="1">
      <c r="A79" s="18" t="str">
        <f>IF($AA79=0,"",INDEX('13 - DATA &amp; LISTS'!$Y$30:$Y$436,$AA79))</f>
        <v/>
      </c>
      <c r="B79" s="18" t="str">
        <f>IF($AA79=0,"",INDEX('13 - DATA &amp; LISTS'!$Z$30:$Z$436,$AA79))</f>
        <v/>
      </c>
      <c r="C79" s="18" t="str">
        <f>IF($AA79=0,"",INDEX('13 - DATA &amp; LISTS'!$AA$30:$AA$436,$AA79))</f>
        <v/>
      </c>
      <c r="D79" s="18" t="str">
        <f>IF($AA79=0,"",INDEX('13 - DATA &amp; LISTS'!$AB$30:$AB$436,$AA79))</f>
        <v/>
      </c>
      <c r="E79" s="18" t="str">
        <f>IF($AA79=0,"",INDEX('13 - DATA &amp; LISTS'!$AC$30:$AC$436,$AA79))</f>
        <v/>
      </c>
      <c r="F79" s="18" t="str">
        <f>IF($AA79=0,"",INDEX('13 - DATA &amp; LISTS'!$AD$30:$AD$436,$AA79))</f>
        <v/>
      </c>
      <c r="G79" s="18" t="str">
        <f>IF($AA79=0,"",INDEX('13 - DATA &amp; LISTS'!$AE$30:$AE$436,$AA79))</f>
        <v/>
      </c>
      <c r="H79" s="19" t="str">
        <f>IF($AA79=0,"",INDEX('13 - DATA &amp; LISTS'!$AF$30:$AF$436,$AA79))</f>
        <v/>
      </c>
      <c r="I79" s="18" t="str">
        <f>IF($AA79=0,"",INDEX('13 - DATA &amp; LISTS'!$AG$30:$AG$436,$AA79))</f>
        <v/>
      </c>
      <c r="J79" s="18" t="str">
        <f>IF($AA79=0,"",INDEX('13 - DATA &amp; LISTS'!$AH$30:$AH$436,$AA79))</f>
        <v/>
      </c>
      <c r="K79" s="18" t="str">
        <f>IF($AA79=0,"",INDEX('13 - DATA &amp; LISTS'!$AI$30:$AI$436,$AA79))</f>
        <v/>
      </c>
      <c r="AA79">
        <f>IF(COUNTIF('13 - DATA &amp; LISTS'!$AK$30:$AK$436,"&lt;999999999999")&lt;71,0,MATCH(SMALL('13 - DATA &amp; LISTS'!$AK$30:$AK$436,71),'13 - DATA &amp; LISTS'!$AK$30:$AK$436,0))</f>
        <v>0</v>
      </c>
    </row>
    <row r="80" spans="1:27" ht="63.95" customHeight="1">
      <c r="A80" s="18" t="str">
        <f>IF($AA80=0,"",INDEX('13 - DATA &amp; LISTS'!$Y$30:$Y$436,$AA80))</f>
        <v/>
      </c>
      <c r="B80" s="18" t="str">
        <f>IF($AA80=0,"",INDEX('13 - DATA &amp; LISTS'!$Z$30:$Z$436,$AA80))</f>
        <v/>
      </c>
      <c r="C80" s="18" t="str">
        <f>IF($AA80=0,"",INDEX('13 - DATA &amp; LISTS'!$AA$30:$AA$436,$AA80))</f>
        <v/>
      </c>
      <c r="D80" s="18" t="str">
        <f>IF($AA80=0,"",INDEX('13 - DATA &amp; LISTS'!$AB$30:$AB$436,$AA80))</f>
        <v/>
      </c>
      <c r="E80" s="18" t="str">
        <f>IF($AA80=0,"",INDEX('13 - DATA &amp; LISTS'!$AC$30:$AC$436,$AA80))</f>
        <v/>
      </c>
      <c r="F80" s="18" t="str">
        <f>IF($AA80=0,"",INDEX('13 - DATA &amp; LISTS'!$AD$30:$AD$436,$AA80))</f>
        <v/>
      </c>
      <c r="G80" s="18" t="str">
        <f>IF($AA80=0,"",INDEX('13 - DATA &amp; LISTS'!$AE$30:$AE$436,$AA80))</f>
        <v/>
      </c>
      <c r="H80" s="19" t="str">
        <f>IF($AA80=0,"",INDEX('13 - DATA &amp; LISTS'!$AF$30:$AF$436,$AA80))</f>
        <v/>
      </c>
      <c r="I80" s="18" t="str">
        <f>IF($AA80=0,"",INDEX('13 - DATA &amp; LISTS'!$AG$30:$AG$436,$AA80))</f>
        <v/>
      </c>
      <c r="J80" s="18" t="str">
        <f>IF($AA80=0,"",INDEX('13 - DATA &amp; LISTS'!$AH$30:$AH$436,$AA80))</f>
        <v/>
      </c>
      <c r="K80" s="18" t="str">
        <f>IF($AA80=0,"",INDEX('13 - DATA &amp; LISTS'!$AI$30:$AI$436,$AA80))</f>
        <v/>
      </c>
      <c r="AA80">
        <f>IF(COUNTIF('13 - DATA &amp; LISTS'!$AK$30:$AK$436,"&lt;999999999999")&lt;72,0,MATCH(SMALL('13 - DATA &amp; LISTS'!$AK$30:$AK$436,72),'13 - DATA &amp; LISTS'!$AK$30:$AK$436,0))</f>
        <v>0</v>
      </c>
    </row>
    <row r="81" spans="1:27" ht="63.95" customHeight="1">
      <c r="A81" s="18" t="str">
        <f>IF($AA81=0,"",INDEX('13 - DATA &amp; LISTS'!$Y$30:$Y$436,$AA81))</f>
        <v/>
      </c>
      <c r="B81" s="18" t="str">
        <f>IF($AA81=0,"",INDEX('13 - DATA &amp; LISTS'!$Z$30:$Z$436,$AA81))</f>
        <v/>
      </c>
      <c r="C81" s="18" t="str">
        <f>IF($AA81=0,"",INDEX('13 - DATA &amp; LISTS'!$AA$30:$AA$436,$AA81))</f>
        <v/>
      </c>
      <c r="D81" s="18" t="str">
        <f>IF($AA81=0,"",INDEX('13 - DATA &amp; LISTS'!$AB$30:$AB$436,$AA81))</f>
        <v/>
      </c>
      <c r="E81" s="18" t="str">
        <f>IF($AA81=0,"",INDEX('13 - DATA &amp; LISTS'!$AC$30:$AC$436,$AA81))</f>
        <v/>
      </c>
      <c r="F81" s="18" t="str">
        <f>IF($AA81=0,"",INDEX('13 - DATA &amp; LISTS'!$AD$30:$AD$436,$AA81))</f>
        <v/>
      </c>
      <c r="G81" s="18" t="str">
        <f>IF($AA81=0,"",INDEX('13 - DATA &amp; LISTS'!$AE$30:$AE$436,$AA81))</f>
        <v/>
      </c>
      <c r="H81" s="19" t="str">
        <f>IF($AA81=0,"",INDEX('13 - DATA &amp; LISTS'!$AF$30:$AF$436,$AA81))</f>
        <v/>
      </c>
      <c r="I81" s="18" t="str">
        <f>IF($AA81=0,"",INDEX('13 - DATA &amp; LISTS'!$AG$30:$AG$436,$AA81))</f>
        <v/>
      </c>
      <c r="J81" s="18" t="str">
        <f>IF($AA81=0,"",INDEX('13 - DATA &amp; LISTS'!$AH$30:$AH$436,$AA81))</f>
        <v/>
      </c>
      <c r="K81" s="18" t="str">
        <f>IF($AA81=0,"",INDEX('13 - DATA &amp; LISTS'!$AI$30:$AI$436,$AA81))</f>
        <v/>
      </c>
      <c r="AA81">
        <f>IF(COUNTIF('13 - DATA &amp; LISTS'!$AK$30:$AK$436,"&lt;999999999999")&lt;73,0,MATCH(SMALL('13 - DATA &amp; LISTS'!$AK$30:$AK$436,73),'13 - DATA &amp; LISTS'!$AK$30:$AK$436,0))</f>
        <v>0</v>
      </c>
    </row>
    <row r="82" spans="1:27" ht="63.95" customHeight="1">
      <c r="A82" s="18" t="str">
        <f>IF($AA82=0,"",INDEX('13 - DATA &amp; LISTS'!$Y$30:$Y$436,$AA82))</f>
        <v/>
      </c>
      <c r="B82" s="18" t="str">
        <f>IF($AA82=0,"",INDEX('13 - DATA &amp; LISTS'!$Z$30:$Z$436,$AA82))</f>
        <v/>
      </c>
      <c r="C82" s="18" t="str">
        <f>IF($AA82=0,"",INDEX('13 - DATA &amp; LISTS'!$AA$30:$AA$436,$AA82))</f>
        <v/>
      </c>
      <c r="D82" s="18" t="str">
        <f>IF($AA82=0,"",INDEX('13 - DATA &amp; LISTS'!$AB$30:$AB$436,$AA82))</f>
        <v/>
      </c>
      <c r="E82" s="18" t="str">
        <f>IF($AA82=0,"",INDEX('13 - DATA &amp; LISTS'!$AC$30:$AC$436,$AA82))</f>
        <v/>
      </c>
      <c r="F82" s="18" t="str">
        <f>IF($AA82=0,"",INDEX('13 - DATA &amp; LISTS'!$AD$30:$AD$436,$AA82))</f>
        <v/>
      </c>
      <c r="G82" s="18" t="str">
        <f>IF($AA82=0,"",INDEX('13 - DATA &amp; LISTS'!$AE$30:$AE$436,$AA82))</f>
        <v/>
      </c>
      <c r="H82" s="19" t="str">
        <f>IF($AA82=0,"",INDEX('13 - DATA &amp; LISTS'!$AF$30:$AF$436,$AA82))</f>
        <v/>
      </c>
      <c r="I82" s="18" t="str">
        <f>IF($AA82=0,"",INDEX('13 - DATA &amp; LISTS'!$AG$30:$AG$436,$AA82))</f>
        <v/>
      </c>
      <c r="J82" s="18" t="str">
        <f>IF($AA82=0,"",INDEX('13 - DATA &amp; LISTS'!$AH$30:$AH$436,$AA82))</f>
        <v/>
      </c>
      <c r="K82" s="18" t="str">
        <f>IF($AA82=0,"",INDEX('13 - DATA &amp; LISTS'!$AI$30:$AI$436,$AA82))</f>
        <v/>
      </c>
      <c r="AA82">
        <f>IF(COUNTIF('13 - DATA &amp; LISTS'!$AK$30:$AK$436,"&lt;999999999999")&lt;74,0,MATCH(SMALL('13 - DATA &amp; LISTS'!$AK$30:$AK$436,74),'13 - DATA &amp; LISTS'!$AK$30:$AK$436,0))</f>
        <v>0</v>
      </c>
    </row>
    <row r="83" spans="1:27" ht="63.95" customHeight="1">
      <c r="A83" s="18" t="str">
        <f>IF($AA83=0,"",INDEX('13 - DATA &amp; LISTS'!$Y$30:$Y$436,$AA83))</f>
        <v/>
      </c>
      <c r="B83" s="18" t="str">
        <f>IF($AA83=0,"",INDEX('13 - DATA &amp; LISTS'!$Z$30:$Z$436,$AA83))</f>
        <v/>
      </c>
      <c r="C83" s="18" t="str">
        <f>IF($AA83=0,"",INDEX('13 - DATA &amp; LISTS'!$AA$30:$AA$436,$AA83))</f>
        <v/>
      </c>
      <c r="D83" s="18" t="str">
        <f>IF($AA83=0,"",INDEX('13 - DATA &amp; LISTS'!$AB$30:$AB$436,$AA83))</f>
        <v/>
      </c>
      <c r="E83" s="18" t="str">
        <f>IF($AA83=0,"",INDEX('13 - DATA &amp; LISTS'!$AC$30:$AC$436,$AA83))</f>
        <v/>
      </c>
      <c r="F83" s="18" t="str">
        <f>IF($AA83=0,"",INDEX('13 - DATA &amp; LISTS'!$AD$30:$AD$436,$AA83))</f>
        <v/>
      </c>
      <c r="G83" s="18" t="str">
        <f>IF($AA83=0,"",INDEX('13 - DATA &amp; LISTS'!$AE$30:$AE$436,$AA83))</f>
        <v/>
      </c>
      <c r="H83" s="19" t="str">
        <f>IF($AA83=0,"",INDEX('13 - DATA &amp; LISTS'!$AF$30:$AF$436,$AA83))</f>
        <v/>
      </c>
      <c r="I83" s="18" t="str">
        <f>IF($AA83=0,"",INDEX('13 - DATA &amp; LISTS'!$AG$30:$AG$436,$AA83))</f>
        <v/>
      </c>
      <c r="J83" s="18" t="str">
        <f>IF($AA83=0,"",INDEX('13 - DATA &amp; LISTS'!$AH$30:$AH$436,$AA83))</f>
        <v/>
      </c>
      <c r="K83" s="18" t="str">
        <f>IF($AA83=0,"",INDEX('13 - DATA &amp; LISTS'!$AI$30:$AI$436,$AA83))</f>
        <v/>
      </c>
      <c r="AA83">
        <f>IF(COUNTIF('13 - DATA &amp; LISTS'!$AK$30:$AK$436,"&lt;999999999999")&lt;75,0,MATCH(SMALL('13 - DATA &amp; LISTS'!$AK$30:$AK$436,75),'13 - DATA &amp; LISTS'!$AK$30:$AK$436,0))</f>
        <v>0</v>
      </c>
    </row>
    <row r="84" spans="1:27" ht="63.95" customHeight="1">
      <c r="A84" s="18" t="str">
        <f>IF($AA84=0,"",INDEX('13 - DATA &amp; LISTS'!$Y$30:$Y$436,$AA84))</f>
        <v/>
      </c>
      <c r="B84" s="18" t="str">
        <f>IF($AA84=0,"",INDEX('13 - DATA &amp; LISTS'!$Z$30:$Z$436,$AA84))</f>
        <v/>
      </c>
      <c r="C84" s="18" t="str">
        <f>IF($AA84=0,"",INDEX('13 - DATA &amp; LISTS'!$AA$30:$AA$436,$AA84))</f>
        <v/>
      </c>
      <c r="D84" s="18" t="str">
        <f>IF($AA84=0,"",INDEX('13 - DATA &amp; LISTS'!$AB$30:$AB$436,$AA84))</f>
        <v/>
      </c>
      <c r="E84" s="18" t="str">
        <f>IF($AA84=0,"",INDEX('13 - DATA &amp; LISTS'!$AC$30:$AC$436,$AA84))</f>
        <v/>
      </c>
      <c r="F84" s="18" t="str">
        <f>IF($AA84=0,"",INDEX('13 - DATA &amp; LISTS'!$AD$30:$AD$436,$AA84))</f>
        <v/>
      </c>
      <c r="G84" s="18" t="str">
        <f>IF($AA84=0,"",INDEX('13 - DATA &amp; LISTS'!$AE$30:$AE$436,$AA84))</f>
        <v/>
      </c>
      <c r="H84" s="19" t="str">
        <f>IF($AA84=0,"",INDEX('13 - DATA &amp; LISTS'!$AF$30:$AF$436,$AA84))</f>
        <v/>
      </c>
      <c r="I84" s="18" t="str">
        <f>IF($AA84=0,"",INDEX('13 - DATA &amp; LISTS'!$AG$30:$AG$436,$AA84))</f>
        <v/>
      </c>
      <c r="J84" s="18" t="str">
        <f>IF($AA84=0,"",INDEX('13 - DATA &amp; LISTS'!$AH$30:$AH$436,$AA84))</f>
        <v/>
      </c>
      <c r="K84" s="18" t="str">
        <f>IF($AA84=0,"",INDEX('13 - DATA &amp; LISTS'!$AI$30:$AI$436,$AA84))</f>
        <v/>
      </c>
      <c r="AA84">
        <f>IF(COUNTIF('13 - DATA &amp; LISTS'!$AK$30:$AK$436,"&lt;999999999999")&lt;76,0,MATCH(SMALL('13 - DATA &amp; LISTS'!$AK$30:$AK$436,76),'13 - DATA &amp; LISTS'!$AK$30:$AK$436,0))</f>
        <v>0</v>
      </c>
    </row>
    <row r="85" spans="1:27" ht="63.95" customHeight="1">
      <c r="A85" s="18" t="str">
        <f>IF($AA85=0,"",INDEX('13 - DATA &amp; LISTS'!$Y$30:$Y$436,$AA85))</f>
        <v/>
      </c>
      <c r="B85" s="18" t="str">
        <f>IF($AA85=0,"",INDEX('13 - DATA &amp; LISTS'!$Z$30:$Z$436,$AA85))</f>
        <v/>
      </c>
      <c r="C85" s="18" t="str">
        <f>IF($AA85=0,"",INDEX('13 - DATA &amp; LISTS'!$AA$30:$AA$436,$AA85))</f>
        <v/>
      </c>
      <c r="D85" s="18" t="str">
        <f>IF($AA85=0,"",INDEX('13 - DATA &amp; LISTS'!$AB$30:$AB$436,$AA85))</f>
        <v/>
      </c>
      <c r="E85" s="18" t="str">
        <f>IF($AA85=0,"",INDEX('13 - DATA &amp; LISTS'!$AC$30:$AC$436,$AA85))</f>
        <v/>
      </c>
      <c r="F85" s="18" t="str">
        <f>IF($AA85=0,"",INDEX('13 - DATA &amp; LISTS'!$AD$30:$AD$436,$AA85))</f>
        <v/>
      </c>
      <c r="G85" s="18" t="str">
        <f>IF($AA85=0,"",INDEX('13 - DATA &amp; LISTS'!$AE$30:$AE$436,$AA85))</f>
        <v/>
      </c>
      <c r="H85" s="19" t="str">
        <f>IF($AA85=0,"",INDEX('13 - DATA &amp; LISTS'!$AF$30:$AF$436,$AA85))</f>
        <v/>
      </c>
      <c r="I85" s="18" t="str">
        <f>IF($AA85=0,"",INDEX('13 - DATA &amp; LISTS'!$AG$30:$AG$436,$AA85))</f>
        <v/>
      </c>
      <c r="J85" s="18" t="str">
        <f>IF($AA85=0,"",INDEX('13 - DATA &amp; LISTS'!$AH$30:$AH$436,$AA85))</f>
        <v/>
      </c>
      <c r="K85" s="18" t="str">
        <f>IF($AA85=0,"",INDEX('13 - DATA &amp; LISTS'!$AI$30:$AI$436,$AA85))</f>
        <v/>
      </c>
      <c r="AA85">
        <f>IF(COUNTIF('13 - DATA &amp; LISTS'!$AK$30:$AK$436,"&lt;999999999999")&lt;77,0,MATCH(SMALL('13 - DATA &amp; LISTS'!$AK$30:$AK$436,77),'13 - DATA &amp; LISTS'!$AK$30:$AK$436,0))</f>
        <v>0</v>
      </c>
    </row>
    <row r="86" spans="1:27" ht="63.95" customHeight="1">
      <c r="A86" s="18" t="str">
        <f>IF($AA86=0,"",INDEX('13 - DATA &amp; LISTS'!$Y$30:$Y$436,$AA86))</f>
        <v/>
      </c>
      <c r="B86" s="18" t="str">
        <f>IF($AA86=0,"",INDEX('13 - DATA &amp; LISTS'!$Z$30:$Z$436,$AA86))</f>
        <v/>
      </c>
      <c r="C86" s="18" t="str">
        <f>IF($AA86=0,"",INDEX('13 - DATA &amp; LISTS'!$AA$30:$AA$436,$AA86))</f>
        <v/>
      </c>
      <c r="D86" s="18" t="str">
        <f>IF($AA86=0,"",INDEX('13 - DATA &amp; LISTS'!$AB$30:$AB$436,$AA86))</f>
        <v/>
      </c>
      <c r="E86" s="18" t="str">
        <f>IF($AA86=0,"",INDEX('13 - DATA &amp; LISTS'!$AC$30:$AC$436,$AA86))</f>
        <v/>
      </c>
      <c r="F86" s="18" t="str">
        <f>IF($AA86=0,"",INDEX('13 - DATA &amp; LISTS'!$AD$30:$AD$436,$AA86))</f>
        <v/>
      </c>
      <c r="G86" s="18" t="str">
        <f>IF($AA86=0,"",INDEX('13 - DATA &amp; LISTS'!$AE$30:$AE$436,$AA86))</f>
        <v/>
      </c>
      <c r="H86" s="19" t="str">
        <f>IF($AA86=0,"",INDEX('13 - DATA &amp; LISTS'!$AF$30:$AF$436,$AA86))</f>
        <v/>
      </c>
      <c r="I86" s="18" t="str">
        <f>IF($AA86=0,"",INDEX('13 - DATA &amp; LISTS'!$AG$30:$AG$436,$AA86))</f>
        <v/>
      </c>
      <c r="J86" s="18" t="str">
        <f>IF($AA86=0,"",INDEX('13 - DATA &amp; LISTS'!$AH$30:$AH$436,$AA86))</f>
        <v/>
      </c>
      <c r="K86" s="18" t="str">
        <f>IF($AA86=0,"",INDEX('13 - DATA &amp; LISTS'!$AI$30:$AI$436,$AA86))</f>
        <v/>
      </c>
      <c r="AA86">
        <f>IF(COUNTIF('13 - DATA &amp; LISTS'!$AK$30:$AK$436,"&lt;999999999999")&lt;78,0,MATCH(SMALL('13 - DATA &amp; LISTS'!$AK$30:$AK$436,78),'13 - DATA &amp; LISTS'!$AK$30:$AK$436,0))</f>
        <v>0</v>
      </c>
    </row>
    <row r="87" spans="1:27" ht="63.95" customHeight="1">
      <c r="A87" s="18" t="str">
        <f>IF($AA87=0,"",INDEX('13 - DATA &amp; LISTS'!$Y$30:$Y$436,$AA87))</f>
        <v/>
      </c>
      <c r="B87" s="18" t="str">
        <f>IF($AA87=0,"",INDEX('13 - DATA &amp; LISTS'!$Z$30:$Z$436,$AA87))</f>
        <v/>
      </c>
      <c r="C87" s="18" t="str">
        <f>IF($AA87=0,"",INDEX('13 - DATA &amp; LISTS'!$AA$30:$AA$436,$AA87))</f>
        <v/>
      </c>
      <c r="D87" s="18" t="str">
        <f>IF($AA87=0,"",INDEX('13 - DATA &amp; LISTS'!$AB$30:$AB$436,$AA87))</f>
        <v/>
      </c>
      <c r="E87" s="18" t="str">
        <f>IF($AA87=0,"",INDEX('13 - DATA &amp; LISTS'!$AC$30:$AC$436,$AA87))</f>
        <v/>
      </c>
      <c r="F87" s="18" t="str">
        <f>IF($AA87=0,"",INDEX('13 - DATA &amp; LISTS'!$AD$30:$AD$436,$AA87))</f>
        <v/>
      </c>
      <c r="G87" s="18" t="str">
        <f>IF($AA87=0,"",INDEX('13 - DATA &amp; LISTS'!$AE$30:$AE$436,$AA87))</f>
        <v/>
      </c>
      <c r="H87" s="19" t="str">
        <f>IF($AA87=0,"",INDEX('13 - DATA &amp; LISTS'!$AF$30:$AF$436,$AA87))</f>
        <v/>
      </c>
      <c r="I87" s="18" t="str">
        <f>IF($AA87=0,"",INDEX('13 - DATA &amp; LISTS'!$AG$30:$AG$436,$AA87))</f>
        <v/>
      </c>
      <c r="J87" s="18" t="str">
        <f>IF($AA87=0,"",INDEX('13 - DATA &amp; LISTS'!$AH$30:$AH$436,$AA87))</f>
        <v/>
      </c>
      <c r="K87" s="18" t="str">
        <f>IF($AA87=0,"",INDEX('13 - DATA &amp; LISTS'!$AI$30:$AI$436,$AA87))</f>
        <v/>
      </c>
      <c r="AA87">
        <f>IF(COUNTIF('13 - DATA &amp; LISTS'!$AK$30:$AK$436,"&lt;999999999999")&lt;79,0,MATCH(SMALL('13 - DATA &amp; LISTS'!$AK$30:$AK$436,79),'13 - DATA &amp; LISTS'!$AK$30:$AK$436,0))</f>
        <v>0</v>
      </c>
    </row>
    <row r="88" spans="1:27" ht="63.95" customHeight="1">
      <c r="A88" s="18" t="str">
        <f>IF($AA88=0,"",INDEX('13 - DATA &amp; LISTS'!$Y$30:$Y$436,$AA88))</f>
        <v/>
      </c>
      <c r="B88" s="18" t="str">
        <f>IF($AA88=0,"",INDEX('13 - DATA &amp; LISTS'!$Z$30:$Z$436,$AA88))</f>
        <v/>
      </c>
      <c r="C88" s="18" t="str">
        <f>IF($AA88=0,"",INDEX('13 - DATA &amp; LISTS'!$AA$30:$AA$436,$AA88))</f>
        <v/>
      </c>
      <c r="D88" s="18" t="str">
        <f>IF($AA88=0,"",INDEX('13 - DATA &amp; LISTS'!$AB$30:$AB$436,$AA88))</f>
        <v/>
      </c>
      <c r="E88" s="18" t="str">
        <f>IF($AA88=0,"",INDEX('13 - DATA &amp; LISTS'!$AC$30:$AC$436,$AA88))</f>
        <v/>
      </c>
      <c r="F88" s="18" t="str">
        <f>IF($AA88=0,"",INDEX('13 - DATA &amp; LISTS'!$AD$30:$AD$436,$AA88))</f>
        <v/>
      </c>
      <c r="G88" s="18" t="str">
        <f>IF($AA88=0,"",INDEX('13 - DATA &amp; LISTS'!$AE$30:$AE$436,$AA88))</f>
        <v/>
      </c>
      <c r="H88" s="19" t="str">
        <f>IF($AA88=0,"",INDEX('13 - DATA &amp; LISTS'!$AF$30:$AF$436,$AA88))</f>
        <v/>
      </c>
      <c r="I88" s="18" t="str">
        <f>IF($AA88=0,"",INDEX('13 - DATA &amp; LISTS'!$AG$30:$AG$436,$AA88))</f>
        <v/>
      </c>
      <c r="J88" s="18" t="str">
        <f>IF($AA88=0,"",INDEX('13 - DATA &amp; LISTS'!$AH$30:$AH$436,$AA88))</f>
        <v/>
      </c>
      <c r="K88" s="18" t="str">
        <f>IF($AA88=0,"",INDEX('13 - DATA &amp; LISTS'!$AI$30:$AI$436,$AA88))</f>
        <v/>
      </c>
      <c r="AA88">
        <f>IF(COUNTIF('13 - DATA &amp; LISTS'!$AK$30:$AK$436,"&lt;999999999999")&lt;80,0,MATCH(SMALL('13 - DATA &amp; LISTS'!$AK$30:$AK$436,80),'13 - DATA &amp; LISTS'!$AK$30:$AK$436,0))</f>
        <v>0</v>
      </c>
    </row>
    <row r="89" spans="1:27" ht="63.95" customHeight="1">
      <c r="A89" s="18" t="str">
        <f>IF($AA89=0,"",INDEX('13 - DATA &amp; LISTS'!$Y$30:$Y$436,$AA89))</f>
        <v/>
      </c>
      <c r="B89" s="18" t="str">
        <f>IF($AA89=0,"",INDEX('13 - DATA &amp; LISTS'!$Z$30:$Z$436,$AA89))</f>
        <v/>
      </c>
      <c r="C89" s="18" t="str">
        <f>IF($AA89=0,"",INDEX('13 - DATA &amp; LISTS'!$AA$30:$AA$436,$AA89))</f>
        <v/>
      </c>
      <c r="D89" s="18" t="str">
        <f>IF($AA89=0,"",INDEX('13 - DATA &amp; LISTS'!$AB$30:$AB$436,$AA89))</f>
        <v/>
      </c>
      <c r="E89" s="18" t="str">
        <f>IF($AA89=0,"",INDEX('13 - DATA &amp; LISTS'!$AC$30:$AC$436,$AA89))</f>
        <v/>
      </c>
      <c r="F89" s="18" t="str">
        <f>IF($AA89=0,"",INDEX('13 - DATA &amp; LISTS'!$AD$30:$AD$436,$AA89))</f>
        <v/>
      </c>
      <c r="G89" s="18" t="str">
        <f>IF($AA89=0,"",INDEX('13 - DATA &amp; LISTS'!$AE$30:$AE$436,$AA89))</f>
        <v/>
      </c>
      <c r="H89" s="19" t="str">
        <f>IF($AA89=0,"",INDEX('13 - DATA &amp; LISTS'!$AF$30:$AF$436,$AA89))</f>
        <v/>
      </c>
      <c r="I89" s="18" t="str">
        <f>IF($AA89=0,"",INDEX('13 - DATA &amp; LISTS'!$AG$30:$AG$436,$AA89))</f>
        <v/>
      </c>
      <c r="J89" s="18" t="str">
        <f>IF($AA89=0,"",INDEX('13 - DATA &amp; LISTS'!$AH$30:$AH$436,$AA89))</f>
        <v/>
      </c>
      <c r="K89" s="18" t="str">
        <f>IF($AA89=0,"",INDEX('13 - DATA &amp; LISTS'!$AI$30:$AI$436,$AA89))</f>
        <v/>
      </c>
      <c r="AA89">
        <f>IF(COUNTIF('13 - DATA &amp; LISTS'!$AK$30:$AK$436,"&lt;999999999999")&lt;81,0,MATCH(SMALL('13 - DATA &amp; LISTS'!$AK$30:$AK$436,81),'13 - DATA &amp; LISTS'!$AK$30:$AK$436,0))</f>
        <v>0</v>
      </c>
    </row>
    <row r="90" spans="1:27" ht="63.95" customHeight="1">
      <c r="A90" s="18" t="str">
        <f>IF($AA90=0,"",INDEX('13 - DATA &amp; LISTS'!$Y$30:$Y$436,$AA90))</f>
        <v/>
      </c>
      <c r="B90" s="18" t="str">
        <f>IF($AA90=0,"",INDEX('13 - DATA &amp; LISTS'!$Z$30:$Z$436,$AA90))</f>
        <v/>
      </c>
      <c r="C90" s="18" t="str">
        <f>IF($AA90=0,"",INDEX('13 - DATA &amp; LISTS'!$AA$30:$AA$436,$AA90))</f>
        <v/>
      </c>
      <c r="D90" s="18" t="str">
        <f>IF($AA90=0,"",INDEX('13 - DATA &amp; LISTS'!$AB$30:$AB$436,$AA90))</f>
        <v/>
      </c>
      <c r="E90" s="18" t="str">
        <f>IF($AA90=0,"",INDEX('13 - DATA &amp; LISTS'!$AC$30:$AC$436,$AA90))</f>
        <v/>
      </c>
      <c r="F90" s="18" t="str">
        <f>IF($AA90=0,"",INDEX('13 - DATA &amp; LISTS'!$AD$30:$AD$436,$AA90))</f>
        <v/>
      </c>
      <c r="G90" s="18" t="str">
        <f>IF($AA90=0,"",INDEX('13 - DATA &amp; LISTS'!$AE$30:$AE$436,$AA90))</f>
        <v/>
      </c>
      <c r="H90" s="19" t="str">
        <f>IF($AA90=0,"",INDEX('13 - DATA &amp; LISTS'!$AF$30:$AF$436,$AA90))</f>
        <v/>
      </c>
      <c r="I90" s="18" t="str">
        <f>IF($AA90=0,"",INDEX('13 - DATA &amp; LISTS'!$AG$30:$AG$436,$AA90))</f>
        <v/>
      </c>
      <c r="J90" s="18" t="str">
        <f>IF($AA90=0,"",INDEX('13 - DATA &amp; LISTS'!$AH$30:$AH$436,$AA90))</f>
        <v/>
      </c>
      <c r="K90" s="18" t="str">
        <f>IF($AA90=0,"",INDEX('13 - DATA &amp; LISTS'!$AI$30:$AI$436,$AA90))</f>
        <v/>
      </c>
      <c r="AA90">
        <f>IF(COUNTIF('13 - DATA &amp; LISTS'!$AK$30:$AK$436,"&lt;999999999999")&lt;82,0,MATCH(SMALL('13 - DATA &amp; LISTS'!$AK$30:$AK$436,82),'13 - DATA &amp; LISTS'!$AK$30:$AK$436,0))</f>
        <v>0</v>
      </c>
    </row>
    <row r="91" spans="1:27" ht="63.95" customHeight="1">
      <c r="A91" s="18" t="str">
        <f>IF($AA91=0,"",INDEX('13 - DATA &amp; LISTS'!$Y$30:$Y$436,$AA91))</f>
        <v/>
      </c>
      <c r="B91" s="18" t="str">
        <f>IF($AA91=0,"",INDEX('13 - DATA &amp; LISTS'!$Z$30:$Z$436,$AA91))</f>
        <v/>
      </c>
      <c r="C91" s="18" t="str">
        <f>IF($AA91=0,"",INDEX('13 - DATA &amp; LISTS'!$AA$30:$AA$436,$AA91))</f>
        <v/>
      </c>
      <c r="D91" s="18" t="str">
        <f>IF($AA91=0,"",INDEX('13 - DATA &amp; LISTS'!$AB$30:$AB$436,$AA91))</f>
        <v/>
      </c>
      <c r="E91" s="18" t="str">
        <f>IF($AA91=0,"",INDEX('13 - DATA &amp; LISTS'!$AC$30:$AC$436,$AA91))</f>
        <v/>
      </c>
      <c r="F91" s="18" t="str">
        <f>IF($AA91=0,"",INDEX('13 - DATA &amp; LISTS'!$AD$30:$AD$436,$AA91))</f>
        <v/>
      </c>
      <c r="G91" s="18" t="str">
        <f>IF($AA91=0,"",INDEX('13 - DATA &amp; LISTS'!$AE$30:$AE$436,$AA91))</f>
        <v/>
      </c>
      <c r="H91" s="19" t="str">
        <f>IF($AA91=0,"",INDEX('13 - DATA &amp; LISTS'!$AF$30:$AF$436,$AA91))</f>
        <v/>
      </c>
      <c r="I91" s="18" t="str">
        <f>IF($AA91=0,"",INDEX('13 - DATA &amp; LISTS'!$AG$30:$AG$436,$AA91))</f>
        <v/>
      </c>
      <c r="J91" s="18" t="str">
        <f>IF($AA91=0,"",INDEX('13 - DATA &amp; LISTS'!$AH$30:$AH$436,$AA91))</f>
        <v/>
      </c>
      <c r="K91" s="18" t="str">
        <f>IF($AA91=0,"",INDEX('13 - DATA &amp; LISTS'!$AI$30:$AI$436,$AA91))</f>
        <v/>
      </c>
      <c r="AA91">
        <f>IF(COUNTIF('13 - DATA &amp; LISTS'!$AK$30:$AK$436,"&lt;999999999999")&lt;83,0,MATCH(SMALL('13 - DATA &amp; LISTS'!$AK$30:$AK$436,83),'13 - DATA &amp; LISTS'!$AK$30:$AK$436,0))</f>
        <v>0</v>
      </c>
    </row>
    <row r="92" spans="1:27" ht="63.95" customHeight="1">
      <c r="A92" s="18" t="str">
        <f>IF($AA92=0,"",INDEX('13 - DATA &amp; LISTS'!$Y$30:$Y$436,$AA92))</f>
        <v/>
      </c>
      <c r="B92" s="18" t="str">
        <f>IF($AA92=0,"",INDEX('13 - DATA &amp; LISTS'!$Z$30:$Z$436,$AA92))</f>
        <v/>
      </c>
      <c r="C92" s="18" t="str">
        <f>IF($AA92=0,"",INDEX('13 - DATA &amp; LISTS'!$AA$30:$AA$436,$AA92))</f>
        <v/>
      </c>
      <c r="D92" s="18" t="str">
        <f>IF($AA92=0,"",INDEX('13 - DATA &amp; LISTS'!$AB$30:$AB$436,$AA92))</f>
        <v/>
      </c>
      <c r="E92" s="18" t="str">
        <f>IF($AA92=0,"",INDEX('13 - DATA &amp; LISTS'!$AC$30:$AC$436,$AA92))</f>
        <v/>
      </c>
      <c r="F92" s="18" t="str">
        <f>IF($AA92=0,"",INDEX('13 - DATA &amp; LISTS'!$AD$30:$AD$436,$AA92))</f>
        <v/>
      </c>
      <c r="G92" s="18" t="str">
        <f>IF($AA92=0,"",INDEX('13 - DATA &amp; LISTS'!$AE$30:$AE$436,$AA92))</f>
        <v/>
      </c>
      <c r="H92" s="19" t="str">
        <f>IF($AA92=0,"",INDEX('13 - DATA &amp; LISTS'!$AF$30:$AF$436,$AA92))</f>
        <v/>
      </c>
      <c r="I92" s="18" t="str">
        <f>IF($AA92=0,"",INDEX('13 - DATA &amp; LISTS'!$AG$30:$AG$436,$AA92))</f>
        <v/>
      </c>
      <c r="J92" s="18" t="str">
        <f>IF($AA92=0,"",INDEX('13 - DATA &amp; LISTS'!$AH$30:$AH$436,$AA92))</f>
        <v/>
      </c>
      <c r="K92" s="18" t="str">
        <f>IF($AA92=0,"",INDEX('13 - DATA &amp; LISTS'!$AI$30:$AI$436,$AA92))</f>
        <v/>
      </c>
      <c r="AA92">
        <f>IF(COUNTIF('13 - DATA &amp; LISTS'!$AK$30:$AK$436,"&lt;999999999999")&lt;84,0,MATCH(SMALL('13 - DATA &amp; LISTS'!$AK$30:$AK$436,84),'13 - DATA &amp; LISTS'!$AK$30:$AK$436,0))</f>
        <v>0</v>
      </c>
    </row>
    <row r="93" spans="1:27" ht="63.95" customHeight="1">
      <c r="A93" s="18" t="str">
        <f>IF($AA93=0,"",INDEX('13 - DATA &amp; LISTS'!$Y$30:$Y$436,$AA93))</f>
        <v/>
      </c>
      <c r="B93" s="18" t="str">
        <f>IF($AA93=0,"",INDEX('13 - DATA &amp; LISTS'!$Z$30:$Z$436,$AA93))</f>
        <v/>
      </c>
      <c r="C93" s="18" t="str">
        <f>IF($AA93=0,"",INDEX('13 - DATA &amp; LISTS'!$AA$30:$AA$436,$AA93))</f>
        <v/>
      </c>
      <c r="D93" s="18" t="str">
        <f>IF($AA93=0,"",INDEX('13 - DATA &amp; LISTS'!$AB$30:$AB$436,$AA93))</f>
        <v/>
      </c>
      <c r="E93" s="18" t="str">
        <f>IF($AA93=0,"",INDEX('13 - DATA &amp; LISTS'!$AC$30:$AC$436,$AA93))</f>
        <v/>
      </c>
      <c r="F93" s="18" t="str">
        <f>IF($AA93=0,"",INDEX('13 - DATA &amp; LISTS'!$AD$30:$AD$436,$AA93))</f>
        <v/>
      </c>
      <c r="G93" s="18" t="str">
        <f>IF($AA93=0,"",INDEX('13 - DATA &amp; LISTS'!$AE$30:$AE$436,$AA93))</f>
        <v/>
      </c>
      <c r="H93" s="19" t="str">
        <f>IF($AA93=0,"",INDEX('13 - DATA &amp; LISTS'!$AF$30:$AF$436,$AA93))</f>
        <v/>
      </c>
      <c r="I93" s="18" t="str">
        <f>IF($AA93=0,"",INDEX('13 - DATA &amp; LISTS'!$AG$30:$AG$436,$AA93))</f>
        <v/>
      </c>
      <c r="J93" s="18" t="str">
        <f>IF($AA93=0,"",INDEX('13 - DATA &amp; LISTS'!$AH$30:$AH$436,$AA93))</f>
        <v/>
      </c>
      <c r="K93" s="18" t="str">
        <f>IF($AA93=0,"",INDEX('13 - DATA &amp; LISTS'!$AI$30:$AI$436,$AA93))</f>
        <v/>
      </c>
      <c r="AA93">
        <f>IF(COUNTIF('13 - DATA &amp; LISTS'!$AK$30:$AK$436,"&lt;999999999999")&lt;85,0,MATCH(SMALL('13 - DATA &amp; LISTS'!$AK$30:$AK$436,85),'13 - DATA &amp; LISTS'!$AK$30:$AK$436,0))</f>
        <v>0</v>
      </c>
    </row>
    <row r="94" spans="1:27" ht="63.95" customHeight="1">
      <c r="A94" s="18" t="str">
        <f>IF($AA94=0,"",INDEX('13 - DATA &amp; LISTS'!$Y$30:$Y$436,$AA94))</f>
        <v/>
      </c>
      <c r="B94" s="18" t="str">
        <f>IF($AA94=0,"",INDEX('13 - DATA &amp; LISTS'!$Z$30:$Z$436,$AA94))</f>
        <v/>
      </c>
      <c r="C94" s="18" t="str">
        <f>IF($AA94=0,"",INDEX('13 - DATA &amp; LISTS'!$AA$30:$AA$436,$AA94))</f>
        <v/>
      </c>
      <c r="D94" s="18" t="str">
        <f>IF($AA94=0,"",INDEX('13 - DATA &amp; LISTS'!$AB$30:$AB$436,$AA94))</f>
        <v/>
      </c>
      <c r="E94" s="18" t="str">
        <f>IF($AA94=0,"",INDEX('13 - DATA &amp; LISTS'!$AC$30:$AC$436,$AA94))</f>
        <v/>
      </c>
      <c r="F94" s="18" t="str">
        <f>IF($AA94=0,"",INDEX('13 - DATA &amp; LISTS'!$AD$30:$AD$436,$AA94))</f>
        <v/>
      </c>
      <c r="G94" s="18" t="str">
        <f>IF($AA94=0,"",INDEX('13 - DATA &amp; LISTS'!$AE$30:$AE$436,$AA94))</f>
        <v/>
      </c>
      <c r="H94" s="19" t="str">
        <f>IF($AA94=0,"",INDEX('13 - DATA &amp; LISTS'!$AF$30:$AF$436,$AA94))</f>
        <v/>
      </c>
      <c r="I94" s="18" t="str">
        <f>IF($AA94=0,"",INDEX('13 - DATA &amp; LISTS'!$AG$30:$AG$436,$AA94))</f>
        <v/>
      </c>
      <c r="J94" s="18" t="str">
        <f>IF($AA94=0,"",INDEX('13 - DATA &amp; LISTS'!$AH$30:$AH$436,$AA94))</f>
        <v/>
      </c>
      <c r="K94" s="18" t="str">
        <f>IF($AA94=0,"",INDEX('13 - DATA &amp; LISTS'!$AI$30:$AI$436,$AA94))</f>
        <v/>
      </c>
      <c r="AA94">
        <f>IF(COUNTIF('13 - DATA &amp; LISTS'!$AK$30:$AK$436,"&lt;999999999999")&lt;86,0,MATCH(SMALL('13 - DATA &amp; LISTS'!$AK$30:$AK$436,86),'13 - DATA &amp; LISTS'!$AK$30:$AK$436,0))</f>
        <v>0</v>
      </c>
    </row>
    <row r="95" spans="1:27" ht="63.95" customHeight="1">
      <c r="A95" s="18" t="str">
        <f>IF($AA95=0,"",INDEX('13 - DATA &amp; LISTS'!$Y$30:$Y$436,$AA95))</f>
        <v/>
      </c>
      <c r="B95" s="18" t="str">
        <f>IF($AA95=0,"",INDEX('13 - DATA &amp; LISTS'!$Z$30:$Z$436,$AA95))</f>
        <v/>
      </c>
      <c r="C95" s="18" t="str">
        <f>IF($AA95=0,"",INDEX('13 - DATA &amp; LISTS'!$AA$30:$AA$436,$AA95))</f>
        <v/>
      </c>
      <c r="D95" s="18" t="str">
        <f>IF($AA95=0,"",INDEX('13 - DATA &amp; LISTS'!$AB$30:$AB$436,$AA95))</f>
        <v/>
      </c>
      <c r="E95" s="18" t="str">
        <f>IF($AA95=0,"",INDEX('13 - DATA &amp; LISTS'!$AC$30:$AC$436,$AA95))</f>
        <v/>
      </c>
      <c r="F95" s="18" t="str">
        <f>IF($AA95=0,"",INDEX('13 - DATA &amp; LISTS'!$AD$30:$AD$436,$AA95))</f>
        <v/>
      </c>
      <c r="G95" s="18" t="str">
        <f>IF($AA95=0,"",INDEX('13 - DATA &amp; LISTS'!$AE$30:$AE$436,$AA95))</f>
        <v/>
      </c>
      <c r="H95" s="19" t="str">
        <f>IF($AA95=0,"",INDEX('13 - DATA &amp; LISTS'!$AF$30:$AF$436,$AA95))</f>
        <v/>
      </c>
      <c r="I95" s="18" t="str">
        <f>IF($AA95=0,"",INDEX('13 - DATA &amp; LISTS'!$AG$30:$AG$436,$AA95))</f>
        <v/>
      </c>
      <c r="J95" s="18" t="str">
        <f>IF($AA95=0,"",INDEX('13 - DATA &amp; LISTS'!$AH$30:$AH$436,$AA95))</f>
        <v/>
      </c>
      <c r="K95" s="18" t="str">
        <f>IF($AA95=0,"",INDEX('13 - DATA &amp; LISTS'!$AI$30:$AI$436,$AA95))</f>
        <v/>
      </c>
      <c r="AA95">
        <f>IF(COUNTIF('13 - DATA &amp; LISTS'!$AK$30:$AK$436,"&lt;999999999999")&lt;87,0,MATCH(SMALL('13 - DATA &amp; LISTS'!$AK$30:$AK$436,87),'13 - DATA &amp; LISTS'!$AK$30:$AK$436,0))</f>
        <v>0</v>
      </c>
    </row>
    <row r="96" spans="1:27" ht="63.95" customHeight="1">
      <c r="A96" s="18" t="str">
        <f>IF($AA96=0,"",INDEX('13 - DATA &amp; LISTS'!$Y$30:$Y$436,$AA96))</f>
        <v/>
      </c>
      <c r="B96" s="18" t="str">
        <f>IF($AA96=0,"",INDEX('13 - DATA &amp; LISTS'!$Z$30:$Z$436,$AA96))</f>
        <v/>
      </c>
      <c r="C96" s="18" t="str">
        <f>IF($AA96=0,"",INDEX('13 - DATA &amp; LISTS'!$AA$30:$AA$436,$AA96))</f>
        <v/>
      </c>
      <c r="D96" s="18" t="str">
        <f>IF($AA96=0,"",INDEX('13 - DATA &amp; LISTS'!$AB$30:$AB$436,$AA96))</f>
        <v/>
      </c>
      <c r="E96" s="18" t="str">
        <f>IF($AA96=0,"",INDEX('13 - DATA &amp; LISTS'!$AC$30:$AC$436,$AA96))</f>
        <v/>
      </c>
      <c r="F96" s="18" t="str">
        <f>IF($AA96=0,"",INDEX('13 - DATA &amp; LISTS'!$AD$30:$AD$436,$AA96))</f>
        <v/>
      </c>
      <c r="G96" s="18" t="str">
        <f>IF($AA96=0,"",INDEX('13 - DATA &amp; LISTS'!$AE$30:$AE$436,$AA96))</f>
        <v/>
      </c>
      <c r="H96" s="19" t="str">
        <f>IF($AA96=0,"",INDEX('13 - DATA &amp; LISTS'!$AF$30:$AF$436,$AA96))</f>
        <v/>
      </c>
      <c r="I96" s="18" t="str">
        <f>IF($AA96=0,"",INDEX('13 - DATA &amp; LISTS'!$AG$30:$AG$436,$AA96))</f>
        <v/>
      </c>
      <c r="J96" s="18" t="str">
        <f>IF($AA96=0,"",INDEX('13 - DATA &amp; LISTS'!$AH$30:$AH$436,$AA96))</f>
        <v/>
      </c>
      <c r="K96" s="18" t="str">
        <f>IF($AA96=0,"",INDEX('13 - DATA &amp; LISTS'!$AI$30:$AI$436,$AA96))</f>
        <v/>
      </c>
      <c r="AA96">
        <f>IF(COUNTIF('13 - DATA &amp; LISTS'!$AK$30:$AK$436,"&lt;999999999999")&lt;88,0,MATCH(SMALL('13 - DATA &amp; LISTS'!$AK$30:$AK$436,88),'13 - DATA &amp; LISTS'!$AK$30:$AK$436,0))</f>
        <v>0</v>
      </c>
    </row>
    <row r="97" spans="1:27" ht="63.95" customHeight="1">
      <c r="A97" s="18" t="str">
        <f>IF($AA97=0,"",INDEX('13 - DATA &amp; LISTS'!$Y$30:$Y$436,$AA97))</f>
        <v/>
      </c>
      <c r="B97" s="18" t="str">
        <f>IF($AA97=0,"",INDEX('13 - DATA &amp; LISTS'!$Z$30:$Z$436,$AA97))</f>
        <v/>
      </c>
      <c r="C97" s="18" t="str">
        <f>IF($AA97=0,"",INDEX('13 - DATA &amp; LISTS'!$AA$30:$AA$436,$AA97))</f>
        <v/>
      </c>
      <c r="D97" s="18" t="str">
        <f>IF($AA97=0,"",INDEX('13 - DATA &amp; LISTS'!$AB$30:$AB$436,$AA97))</f>
        <v/>
      </c>
      <c r="E97" s="18" t="str">
        <f>IF($AA97=0,"",INDEX('13 - DATA &amp; LISTS'!$AC$30:$AC$436,$AA97))</f>
        <v/>
      </c>
      <c r="F97" s="18" t="str">
        <f>IF($AA97=0,"",INDEX('13 - DATA &amp; LISTS'!$AD$30:$AD$436,$AA97))</f>
        <v/>
      </c>
      <c r="G97" s="18" t="str">
        <f>IF($AA97=0,"",INDEX('13 - DATA &amp; LISTS'!$AE$30:$AE$436,$AA97))</f>
        <v/>
      </c>
      <c r="H97" s="19" t="str">
        <f>IF($AA97=0,"",INDEX('13 - DATA &amp; LISTS'!$AF$30:$AF$436,$AA97))</f>
        <v/>
      </c>
      <c r="I97" s="18" t="str">
        <f>IF($AA97=0,"",INDEX('13 - DATA &amp; LISTS'!$AG$30:$AG$436,$AA97))</f>
        <v/>
      </c>
      <c r="J97" s="18" t="str">
        <f>IF($AA97=0,"",INDEX('13 - DATA &amp; LISTS'!$AH$30:$AH$436,$AA97))</f>
        <v/>
      </c>
      <c r="K97" s="18" t="str">
        <f>IF($AA97=0,"",INDEX('13 - DATA &amp; LISTS'!$AI$30:$AI$436,$AA97))</f>
        <v/>
      </c>
      <c r="AA97">
        <f>IF(COUNTIF('13 - DATA &amp; LISTS'!$AK$30:$AK$436,"&lt;999999999999")&lt;89,0,MATCH(SMALL('13 - DATA &amp; LISTS'!$AK$30:$AK$436,89),'13 - DATA &amp; LISTS'!$AK$30:$AK$436,0))</f>
        <v>0</v>
      </c>
    </row>
    <row r="98" spans="1:27" ht="63.95" customHeight="1">
      <c r="A98" s="18" t="str">
        <f>IF($AA98=0,"",INDEX('13 - DATA &amp; LISTS'!$Y$30:$Y$436,$AA98))</f>
        <v/>
      </c>
      <c r="B98" s="18" t="str">
        <f>IF($AA98=0,"",INDEX('13 - DATA &amp; LISTS'!$Z$30:$Z$436,$AA98))</f>
        <v/>
      </c>
      <c r="C98" s="18" t="str">
        <f>IF($AA98=0,"",INDEX('13 - DATA &amp; LISTS'!$AA$30:$AA$436,$AA98))</f>
        <v/>
      </c>
      <c r="D98" s="18" t="str">
        <f>IF($AA98=0,"",INDEX('13 - DATA &amp; LISTS'!$AB$30:$AB$436,$AA98))</f>
        <v/>
      </c>
      <c r="E98" s="18" t="str">
        <f>IF($AA98=0,"",INDEX('13 - DATA &amp; LISTS'!$AC$30:$AC$436,$AA98))</f>
        <v/>
      </c>
      <c r="F98" s="18" t="str">
        <f>IF($AA98=0,"",INDEX('13 - DATA &amp; LISTS'!$AD$30:$AD$436,$AA98))</f>
        <v/>
      </c>
      <c r="G98" s="18" t="str">
        <f>IF($AA98=0,"",INDEX('13 - DATA &amp; LISTS'!$AE$30:$AE$436,$AA98))</f>
        <v/>
      </c>
      <c r="H98" s="19" t="str">
        <f>IF($AA98=0,"",INDEX('13 - DATA &amp; LISTS'!$AF$30:$AF$436,$AA98))</f>
        <v/>
      </c>
      <c r="I98" s="18" t="str">
        <f>IF($AA98=0,"",INDEX('13 - DATA &amp; LISTS'!$AG$30:$AG$436,$AA98))</f>
        <v/>
      </c>
      <c r="J98" s="18" t="str">
        <f>IF($AA98=0,"",INDEX('13 - DATA &amp; LISTS'!$AH$30:$AH$436,$AA98))</f>
        <v/>
      </c>
      <c r="K98" s="18" t="str">
        <f>IF($AA98=0,"",INDEX('13 - DATA &amp; LISTS'!$AI$30:$AI$436,$AA98))</f>
        <v/>
      </c>
      <c r="AA98">
        <f>IF(COUNTIF('13 - DATA &amp; LISTS'!$AK$30:$AK$436,"&lt;999999999999")&lt;90,0,MATCH(SMALL('13 - DATA &amp; LISTS'!$AK$30:$AK$436,90),'13 - DATA &amp; LISTS'!$AK$30:$AK$436,0))</f>
        <v>0</v>
      </c>
    </row>
    <row r="99" spans="1:27" ht="63.95" customHeight="1">
      <c r="A99" s="18" t="str">
        <f>IF($AA99=0,"",INDEX('13 - DATA &amp; LISTS'!$Y$30:$Y$436,$AA99))</f>
        <v/>
      </c>
      <c r="B99" s="18" t="str">
        <f>IF($AA99=0,"",INDEX('13 - DATA &amp; LISTS'!$Z$30:$Z$436,$AA99))</f>
        <v/>
      </c>
      <c r="C99" s="18" t="str">
        <f>IF($AA99=0,"",INDEX('13 - DATA &amp; LISTS'!$AA$30:$AA$436,$AA99))</f>
        <v/>
      </c>
      <c r="D99" s="18" t="str">
        <f>IF($AA99=0,"",INDEX('13 - DATA &amp; LISTS'!$AB$30:$AB$436,$AA99))</f>
        <v/>
      </c>
      <c r="E99" s="18" t="str">
        <f>IF($AA99=0,"",INDEX('13 - DATA &amp; LISTS'!$AC$30:$AC$436,$AA99))</f>
        <v/>
      </c>
      <c r="F99" s="18" t="str">
        <f>IF($AA99=0,"",INDEX('13 - DATA &amp; LISTS'!$AD$30:$AD$436,$AA99))</f>
        <v/>
      </c>
      <c r="G99" s="18" t="str">
        <f>IF($AA99=0,"",INDEX('13 - DATA &amp; LISTS'!$AE$30:$AE$436,$AA99))</f>
        <v/>
      </c>
      <c r="H99" s="19" t="str">
        <f>IF($AA99=0,"",INDEX('13 - DATA &amp; LISTS'!$AF$30:$AF$436,$AA99))</f>
        <v/>
      </c>
      <c r="I99" s="18" t="str">
        <f>IF($AA99=0,"",INDEX('13 - DATA &amp; LISTS'!$AG$30:$AG$436,$AA99))</f>
        <v/>
      </c>
      <c r="J99" s="18" t="str">
        <f>IF($AA99=0,"",INDEX('13 - DATA &amp; LISTS'!$AH$30:$AH$436,$AA99))</f>
        <v/>
      </c>
      <c r="K99" s="18" t="str">
        <f>IF($AA99=0,"",INDEX('13 - DATA &amp; LISTS'!$AI$30:$AI$436,$AA99))</f>
        <v/>
      </c>
      <c r="AA99">
        <f>IF(COUNTIF('13 - DATA &amp; LISTS'!$AK$30:$AK$436,"&lt;999999999999")&lt;91,0,MATCH(SMALL('13 - DATA &amp; LISTS'!$AK$30:$AK$436,91),'13 - DATA &amp; LISTS'!$AK$30:$AK$436,0))</f>
        <v>0</v>
      </c>
    </row>
    <row r="100" spans="1:27" ht="63.95" customHeight="1">
      <c r="A100" s="18" t="str">
        <f>IF($AA100=0,"",INDEX('13 - DATA &amp; LISTS'!$Y$30:$Y$436,$AA100))</f>
        <v/>
      </c>
      <c r="B100" s="18" t="str">
        <f>IF($AA100=0,"",INDEX('13 - DATA &amp; LISTS'!$Z$30:$Z$436,$AA100))</f>
        <v/>
      </c>
      <c r="C100" s="18" t="str">
        <f>IF($AA100=0,"",INDEX('13 - DATA &amp; LISTS'!$AA$30:$AA$436,$AA100))</f>
        <v/>
      </c>
      <c r="D100" s="18" t="str">
        <f>IF($AA100=0,"",INDEX('13 - DATA &amp; LISTS'!$AB$30:$AB$436,$AA100))</f>
        <v/>
      </c>
      <c r="E100" s="18" t="str">
        <f>IF($AA100=0,"",INDEX('13 - DATA &amp; LISTS'!$AC$30:$AC$436,$AA100))</f>
        <v/>
      </c>
      <c r="F100" s="18" t="str">
        <f>IF($AA100=0,"",INDEX('13 - DATA &amp; LISTS'!$AD$30:$AD$436,$AA100))</f>
        <v/>
      </c>
      <c r="G100" s="18" t="str">
        <f>IF($AA100=0,"",INDEX('13 - DATA &amp; LISTS'!$AE$30:$AE$436,$AA100))</f>
        <v/>
      </c>
      <c r="H100" s="19" t="str">
        <f>IF($AA100=0,"",INDEX('13 - DATA &amp; LISTS'!$AF$30:$AF$436,$AA100))</f>
        <v/>
      </c>
      <c r="I100" s="18" t="str">
        <f>IF($AA100=0,"",INDEX('13 - DATA &amp; LISTS'!$AG$30:$AG$436,$AA100))</f>
        <v/>
      </c>
      <c r="J100" s="18" t="str">
        <f>IF($AA100=0,"",INDEX('13 - DATA &amp; LISTS'!$AH$30:$AH$436,$AA100))</f>
        <v/>
      </c>
      <c r="K100" s="18" t="str">
        <f>IF($AA100=0,"",INDEX('13 - DATA &amp; LISTS'!$AI$30:$AI$436,$AA100))</f>
        <v/>
      </c>
      <c r="AA100">
        <f>IF(COUNTIF('13 - DATA &amp; LISTS'!$AK$30:$AK$436,"&lt;999999999999")&lt;92,0,MATCH(SMALL('13 - DATA &amp; LISTS'!$AK$30:$AK$436,92),'13 - DATA &amp; LISTS'!$AK$30:$AK$436,0))</f>
        <v>0</v>
      </c>
    </row>
    <row r="101" spans="1:27" ht="63.95" customHeight="1">
      <c r="A101" s="18" t="str">
        <f>IF($AA101=0,"",INDEX('13 - DATA &amp; LISTS'!$Y$30:$Y$436,$AA101))</f>
        <v/>
      </c>
      <c r="B101" s="18" t="str">
        <f>IF($AA101=0,"",INDEX('13 - DATA &amp; LISTS'!$Z$30:$Z$436,$AA101))</f>
        <v/>
      </c>
      <c r="C101" s="18" t="str">
        <f>IF($AA101=0,"",INDEX('13 - DATA &amp; LISTS'!$AA$30:$AA$436,$AA101))</f>
        <v/>
      </c>
      <c r="D101" s="18" t="str">
        <f>IF($AA101=0,"",INDEX('13 - DATA &amp; LISTS'!$AB$30:$AB$436,$AA101))</f>
        <v/>
      </c>
      <c r="E101" s="18" t="str">
        <f>IF($AA101=0,"",INDEX('13 - DATA &amp; LISTS'!$AC$30:$AC$436,$AA101))</f>
        <v/>
      </c>
      <c r="F101" s="18" t="str">
        <f>IF($AA101=0,"",INDEX('13 - DATA &amp; LISTS'!$AD$30:$AD$436,$AA101))</f>
        <v/>
      </c>
      <c r="G101" s="18" t="str">
        <f>IF($AA101=0,"",INDEX('13 - DATA &amp; LISTS'!$AE$30:$AE$436,$AA101))</f>
        <v/>
      </c>
      <c r="H101" s="19" t="str">
        <f>IF($AA101=0,"",INDEX('13 - DATA &amp; LISTS'!$AF$30:$AF$436,$AA101))</f>
        <v/>
      </c>
      <c r="I101" s="18" t="str">
        <f>IF($AA101=0,"",INDEX('13 - DATA &amp; LISTS'!$AG$30:$AG$436,$AA101))</f>
        <v/>
      </c>
      <c r="J101" s="18" t="str">
        <f>IF($AA101=0,"",INDEX('13 - DATA &amp; LISTS'!$AH$30:$AH$436,$AA101))</f>
        <v/>
      </c>
      <c r="K101" s="18" t="str">
        <f>IF($AA101=0,"",INDEX('13 - DATA &amp; LISTS'!$AI$30:$AI$436,$AA101))</f>
        <v/>
      </c>
      <c r="AA101">
        <f>IF(COUNTIF('13 - DATA &amp; LISTS'!$AK$30:$AK$436,"&lt;999999999999")&lt;93,0,MATCH(SMALL('13 - DATA &amp; LISTS'!$AK$30:$AK$436,93),'13 - DATA &amp; LISTS'!$AK$30:$AK$436,0))</f>
        <v>0</v>
      </c>
    </row>
    <row r="102" spans="1:27" ht="63.95" customHeight="1">
      <c r="A102" s="18" t="str">
        <f>IF($AA102=0,"",INDEX('13 - DATA &amp; LISTS'!$Y$30:$Y$436,$AA102))</f>
        <v/>
      </c>
      <c r="B102" s="18" t="str">
        <f>IF($AA102=0,"",INDEX('13 - DATA &amp; LISTS'!$Z$30:$Z$436,$AA102))</f>
        <v/>
      </c>
      <c r="C102" s="18" t="str">
        <f>IF($AA102=0,"",INDEX('13 - DATA &amp; LISTS'!$AA$30:$AA$436,$AA102))</f>
        <v/>
      </c>
      <c r="D102" s="18" t="str">
        <f>IF($AA102=0,"",INDEX('13 - DATA &amp; LISTS'!$AB$30:$AB$436,$AA102))</f>
        <v/>
      </c>
      <c r="E102" s="18" t="str">
        <f>IF($AA102=0,"",INDEX('13 - DATA &amp; LISTS'!$AC$30:$AC$436,$AA102))</f>
        <v/>
      </c>
      <c r="F102" s="18" t="str">
        <f>IF($AA102=0,"",INDEX('13 - DATA &amp; LISTS'!$AD$30:$AD$436,$AA102))</f>
        <v/>
      </c>
      <c r="G102" s="18" t="str">
        <f>IF($AA102=0,"",INDEX('13 - DATA &amp; LISTS'!$AE$30:$AE$436,$AA102))</f>
        <v/>
      </c>
      <c r="H102" s="19" t="str">
        <f>IF($AA102=0,"",INDEX('13 - DATA &amp; LISTS'!$AF$30:$AF$436,$AA102))</f>
        <v/>
      </c>
      <c r="I102" s="18" t="str">
        <f>IF($AA102=0,"",INDEX('13 - DATA &amp; LISTS'!$AG$30:$AG$436,$AA102))</f>
        <v/>
      </c>
      <c r="J102" s="18" t="str">
        <f>IF($AA102=0,"",INDEX('13 - DATA &amp; LISTS'!$AH$30:$AH$436,$AA102))</f>
        <v/>
      </c>
      <c r="K102" s="18" t="str">
        <f>IF($AA102=0,"",INDEX('13 - DATA &amp; LISTS'!$AI$30:$AI$436,$AA102))</f>
        <v/>
      </c>
      <c r="AA102">
        <f>IF(COUNTIF('13 - DATA &amp; LISTS'!$AK$30:$AK$436,"&lt;999999999999")&lt;94,0,MATCH(SMALL('13 - DATA &amp; LISTS'!$AK$30:$AK$436,94),'13 - DATA &amp; LISTS'!$AK$30:$AK$436,0))</f>
        <v>0</v>
      </c>
    </row>
    <row r="103" spans="1:27" ht="63.95" customHeight="1">
      <c r="A103" s="18" t="str">
        <f>IF($AA103=0,"",INDEX('13 - DATA &amp; LISTS'!$Y$30:$Y$436,$AA103))</f>
        <v/>
      </c>
      <c r="B103" s="18" t="str">
        <f>IF($AA103=0,"",INDEX('13 - DATA &amp; LISTS'!$Z$30:$Z$436,$AA103))</f>
        <v/>
      </c>
      <c r="C103" s="18" t="str">
        <f>IF($AA103=0,"",INDEX('13 - DATA &amp; LISTS'!$AA$30:$AA$436,$AA103))</f>
        <v/>
      </c>
      <c r="D103" s="18" t="str">
        <f>IF($AA103=0,"",INDEX('13 - DATA &amp; LISTS'!$AB$30:$AB$436,$AA103))</f>
        <v/>
      </c>
      <c r="E103" s="18" t="str">
        <f>IF($AA103=0,"",INDEX('13 - DATA &amp; LISTS'!$AC$30:$AC$436,$AA103))</f>
        <v/>
      </c>
      <c r="F103" s="18" t="str">
        <f>IF($AA103=0,"",INDEX('13 - DATA &amp; LISTS'!$AD$30:$AD$436,$AA103))</f>
        <v/>
      </c>
      <c r="G103" s="18" t="str">
        <f>IF($AA103=0,"",INDEX('13 - DATA &amp; LISTS'!$AE$30:$AE$436,$AA103))</f>
        <v/>
      </c>
      <c r="H103" s="19" t="str">
        <f>IF($AA103=0,"",INDEX('13 - DATA &amp; LISTS'!$AF$30:$AF$436,$AA103))</f>
        <v/>
      </c>
      <c r="I103" s="18" t="str">
        <f>IF($AA103=0,"",INDEX('13 - DATA &amp; LISTS'!$AG$30:$AG$436,$AA103))</f>
        <v/>
      </c>
      <c r="J103" s="18" t="str">
        <f>IF($AA103=0,"",INDEX('13 - DATA &amp; LISTS'!$AH$30:$AH$436,$AA103))</f>
        <v/>
      </c>
      <c r="K103" s="18" t="str">
        <f>IF($AA103=0,"",INDEX('13 - DATA &amp; LISTS'!$AI$30:$AI$436,$AA103))</f>
        <v/>
      </c>
      <c r="AA103">
        <f>IF(COUNTIF('13 - DATA &amp; LISTS'!$AK$30:$AK$436,"&lt;999999999999")&lt;95,0,MATCH(SMALL('13 - DATA &amp; LISTS'!$AK$30:$AK$436,95),'13 - DATA &amp; LISTS'!$AK$30:$AK$436,0))</f>
        <v>0</v>
      </c>
    </row>
    <row r="104" spans="1:27" ht="63.95" customHeight="1">
      <c r="A104" s="18" t="str">
        <f>IF($AA104=0,"",INDEX('13 - DATA &amp; LISTS'!$Y$30:$Y$436,$AA104))</f>
        <v/>
      </c>
      <c r="B104" s="18" t="str">
        <f>IF($AA104=0,"",INDEX('13 - DATA &amp; LISTS'!$Z$30:$Z$436,$AA104))</f>
        <v/>
      </c>
      <c r="C104" s="18" t="str">
        <f>IF($AA104=0,"",INDEX('13 - DATA &amp; LISTS'!$AA$30:$AA$436,$AA104))</f>
        <v/>
      </c>
      <c r="D104" s="18" t="str">
        <f>IF($AA104=0,"",INDEX('13 - DATA &amp; LISTS'!$AB$30:$AB$436,$AA104))</f>
        <v/>
      </c>
      <c r="E104" s="18" t="str">
        <f>IF($AA104=0,"",INDEX('13 - DATA &amp; LISTS'!$AC$30:$AC$436,$AA104))</f>
        <v/>
      </c>
      <c r="F104" s="18" t="str">
        <f>IF($AA104=0,"",INDEX('13 - DATA &amp; LISTS'!$AD$30:$AD$436,$AA104))</f>
        <v/>
      </c>
      <c r="G104" s="18" t="str">
        <f>IF($AA104=0,"",INDEX('13 - DATA &amp; LISTS'!$AE$30:$AE$436,$AA104))</f>
        <v/>
      </c>
      <c r="H104" s="19" t="str">
        <f>IF($AA104=0,"",INDEX('13 - DATA &amp; LISTS'!$AF$30:$AF$436,$AA104))</f>
        <v/>
      </c>
      <c r="I104" s="18" t="str">
        <f>IF($AA104=0,"",INDEX('13 - DATA &amp; LISTS'!$AG$30:$AG$436,$AA104))</f>
        <v/>
      </c>
      <c r="J104" s="18" t="str">
        <f>IF($AA104=0,"",INDEX('13 - DATA &amp; LISTS'!$AH$30:$AH$436,$AA104))</f>
        <v/>
      </c>
      <c r="K104" s="18" t="str">
        <f>IF($AA104=0,"",INDEX('13 - DATA &amp; LISTS'!$AI$30:$AI$436,$AA104))</f>
        <v/>
      </c>
      <c r="AA104">
        <f>IF(COUNTIF('13 - DATA &amp; LISTS'!$AK$30:$AK$436,"&lt;999999999999")&lt;96,0,MATCH(SMALL('13 - DATA &amp; LISTS'!$AK$30:$AK$436,96),'13 - DATA &amp; LISTS'!$AK$30:$AK$436,0))</f>
        <v>0</v>
      </c>
    </row>
    <row r="105" spans="1:27" ht="63.95" customHeight="1">
      <c r="A105" s="18" t="str">
        <f>IF($AA105=0,"",INDEX('13 - DATA &amp; LISTS'!$Y$30:$Y$436,$AA105))</f>
        <v/>
      </c>
      <c r="B105" s="18" t="str">
        <f>IF($AA105=0,"",INDEX('13 - DATA &amp; LISTS'!$Z$30:$Z$436,$AA105))</f>
        <v/>
      </c>
      <c r="C105" s="18" t="str">
        <f>IF($AA105=0,"",INDEX('13 - DATA &amp; LISTS'!$AA$30:$AA$436,$AA105))</f>
        <v/>
      </c>
      <c r="D105" s="18" t="str">
        <f>IF($AA105=0,"",INDEX('13 - DATA &amp; LISTS'!$AB$30:$AB$436,$AA105))</f>
        <v/>
      </c>
      <c r="E105" s="18" t="str">
        <f>IF($AA105=0,"",INDEX('13 - DATA &amp; LISTS'!$AC$30:$AC$436,$AA105))</f>
        <v/>
      </c>
      <c r="F105" s="18" t="str">
        <f>IF($AA105=0,"",INDEX('13 - DATA &amp; LISTS'!$AD$30:$AD$436,$AA105))</f>
        <v/>
      </c>
      <c r="G105" s="18" t="str">
        <f>IF($AA105=0,"",INDEX('13 - DATA &amp; LISTS'!$AE$30:$AE$436,$AA105))</f>
        <v/>
      </c>
      <c r="H105" s="19" t="str">
        <f>IF($AA105=0,"",INDEX('13 - DATA &amp; LISTS'!$AF$30:$AF$436,$AA105))</f>
        <v/>
      </c>
      <c r="I105" s="18" t="str">
        <f>IF($AA105=0,"",INDEX('13 - DATA &amp; LISTS'!$AG$30:$AG$436,$AA105))</f>
        <v/>
      </c>
      <c r="J105" s="18" t="str">
        <f>IF($AA105=0,"",INDEX('13 - DATA &amp; LISTS'!$AH$30:$AH$436,$AA105))</f>
        <v/>
      </c>
      <c r="K105" s="18" t="str">
        <f>IF($AA105=0,"",INDEX('13 - DATA &amp; LISTS'!$AI$30:$AI$436,$AA105))</f>
        <v/>
      </c>
      <c r="AA105">
        <f>IF(COUNTIF('13 - DATA &amp; LISTS'!$AK$30:$AK$436,"&lt;999999999999")&lt;97,0,MATCH(SMALL('13 - DATA &amp; LISTS'!$AK$30:$AK$436,97),'13 - DATA &amp; LISTS'!$AK$30:$AK$436,0))</f>
        <v>0</v>
      </c>
    </row>
    <row r="106" spans="1:27" ht="63.95" customHeight="1">
      <c r="A106" s="18" t="str">
        <f>IF($AA106=0,"",INDEX('13 - DATA &amp; LISTS'!$Y$30:$Y$436,$AA106))</f>
        <v/>
      </c>
      <c r="B106" s="18" t="str">
        <f>IF($AA106=0,"",INDEX('13 - DATA &amp; LISTS'!$Z$30:$Z$436,$AA106))</f>
        <v/>
      </c>
      <c r="C106" s="18" t="str">
        <f>IF($AA106=0,"",INDEX('13 - DATA &amp; LISTS'!$AA$30:$AA$436,$AA106))</f>
        <v/>
      </c>
      <c r="D106" s="18" t="str">
        <f>IF($AA106=0,"",INDEX('13 - DATA &amp; LISTS'!$AB$30:$AB$436,$AA106))</f>
        <v/>
      </c>
      <c r="E106" s="18" t="str">
        <f>IF($AA106=0,"",INDEX('13 - DATA &amp; LISTS'!$AC$30:$AC$436,$AA106))</f>
        <v/>
      </c>
      <c r="F106" s="18" t="str">
        <f>IF($AA106=0,"",INDEX('13 - DATA &amp; LISTS'!$AD$30:$AD$436,$AA106))</f>
        <v/>
      </c>
      <c r="G106" s="18" t="str">
        <f>IF($AA106=0,"",INDEX('13 - DATA &amp; LISTS'!$AE$30:$AE$436,$AA106))</f>
        <v/>
      </c>
      <c r="H106" s="19" t="str">
        <f>IF($AA106=0,"",INDEX('13 - DATA &amp; LISTS'!$AF$30:$AF$436,$AA106))</f>
        <v/>
      </c>
      <c r="I106" s="18" t="str">
        <f>IF($AA106=0,"",INDEX('13 - DATA &amp; LISTS'!$AG$30:$AG$436,$AA106))</f>
        <v/>
      </c>
      <c r="J106" s="18" t="str">
        <f>IF($AA106=0,"",INDEX('13 - DATA &amp; LISTS'!$AH$30:$AH$436,$AA106))</f>
        <v/>
      </c>
      <c r="K106" s="18" t="str">
        <f>IF($AA106=0,"",INDEX('13 - DATA &amp; LISTS'!$AI$30:$AI$436,$AA106))</f>
        <v/>
      </c>
      <c r="AA106">
        <f>IF(COUNTIF('13 - DATA &amp; LISTS'!$AK$30:$AK$436,"&lt;999999999999")&lt;98,0,MATCH(SMALL('13 - DATA &amp; LISTS'!$AK$30:$AK$436,98),'13 - DATA &amp; LISTS'!$AK$30:$AK$436,0))</f>
        <v>0</v>
      </c>
    </row>
    <row r="107" spans="1:27" ht="63.95" customHeight="1">
      <c r="A107" s="18" t="str">
        <f>IF($AA107=0,"",INDEX('13 - DATA &amp; LISTS'!$Y$30:$Y$436,$AA107))</f>
        <v/>
      </c>
      <c r="B107" s="18" t="str">
        <f>IF($AA107=0,"",INDEX('13 - DATA &amp; LISTS'!$Z$30:$Z$436,$AA107))</f>
        <v/>
      </c>
      <c r="C107" s="18" t="str">
        <f>IF($AA107=0,"",INDEX('13 - DATA &amp; LISTS'!$AA$30:$AA$436,$AA107))</f>
        <v/>
      </c>
      <c r="D107" s="18" t="str">
        <f>IF($AA107=0,"",INDEX('13 - DATA &amp; LISTS'!$AB$30:$AB$436,$AA107))</f>
        <v/>
      </c>
      <c r="E107" s="18" t="str">
        <f>IF($AA107=0,"",INDEX('13 - DATA &amp; LISTS'!$AC$30:$AC$436,$AA107))</f>
        <v/>
      </c>
      <c r="F107" s="18" t="str">
        <f>IF($AA107=0,"",INDEX('13 - DATA &amp; LISTS'!$AD$30:$AD$436,$AA107))</f>
        <v/>
      </c>
      <c r="G107" s="18" t="str">
        <f>IF($AA107=0,"",INDEX('13 - DATA &amp; LISTS'!$AE$30:$AE$436,$AA107))</f>
        <v/>
      </c>
      <c r="H107" s="19" t="str">
        <f>IF($AA107=0,"",INDEX('13 - DATA &amp; LISTS'!$AF$30:$AF$436,$AA107))</f>
        <v/>
      </c>
      <c r="I107" s="18" t="str">
        <f>IF($AA107=0,"",INDEX('13 - DATA &amp; LISTS'!$AG$30:$AG$436,$AA107))</f>
        <v/>
      </c>
      <c r="J107" s="18" t="str">
        <f>IF($AA107=0,"",INDEX('13 - DATA &amp; LISTS'!$AH$30:$AH$436,$AA107))</f>
        <v/>
      </c>
      <c r="K107" s="18" t="str">
        <f>IF($AA107=0,"",INDEX('13 - DATA &amp; LISTS'!$AI$30:$AI$436,$AA107))</f>
        <v/>
      </c>
      <c r="AA107">
        <f>IF(COUNTIF('13 - DATA &amp; LISTS'!$AK$30:$AK$436,"&lt;999999999999")&lt;99,0,MATCH(SMALL('13 - DATA &amp; LISTS'!$AK$30:$AK$436,99),'13 - DATA &amp; LISTS'!$AK$30:$AK$436,0))</f>
        <v>0</v>
      </c>
    </row>
    <row r="108" spans="1:27" ht="63.95" customHeight="1">
      <c r="A108" s="18" t="str">
        <f>IF($AA108=0,"",INDEX('13 - DATA &amp; LISTS'!$Y$30:$Y$436,$AA108))</f>
        <v/>
      </c>
      <c r="B108" s="18" t="str">
        <f>IF($AA108=0,"",INDEX('13 - DATA &amp; LISTS'!$Z$30:$Z$436,$AA108))</f>
        <v/>
      </c>
      <c r="C108" s="18" t="str">
        <f>IF($AA108=0,"",INDEX('13 - DATA &amp; LISTS'!$AA$30:$AA$436,$AA108))</f>
        <v/>
      </c>
      <c r="D108" s="18" t="str">
        <f>IF($AA108=0,"",INDEX('13 - DATA &amp; LISTS'!$AB$30:$AB$436,$AA108))</f>
        <v/>
      </c>
      <c r="E108" s="18" t="str">
        <f>IF($AA108=0,"",INDEX('13 - DATA &amp; LISTS'!$AC$30:$AC$436,$AA108))</f>
        <v/>
      </c>
      <c r="F108" s="18" t="str">
        <f>IF($AA108=0,"",INDEX('13 - DATA &amp; LISTS'!$AD$30:$AD$436,$AA108))</f>
        <v/>
      </c>
      <c r="G108" s="18" t="str">
        <f>IF($AA108=0,"",INDEX('13 - DATA &amp; LISTS'!$AE$30:$AE$436,$AA108))</f>
        <v/>
      </c>
      <c r="H108" s="19" t="str">
        <f>IF($AA108=0,"",INDEX('13 - DATA &amp; LISTS'!$AF$30:$AF$436,$AA108))</f>
        <v/>
      </c>
      <c r="I108" s="18" t="str">
        <f>IF($AA108=0,"",INDEX('13 - DATA &amp; LISTS'!$AG$30:$AG$436,$AA108))</f>
        <v/>
      </c>
      <c r="J108" s="18" t="str">
        <f>IF($AA108=0,"",INDEX('13 - DATA &amp; LISTS'!$AH$30:$AH$436,$AA108))</f>
        <v/>
      </c>
      <c r="K108" s="18" t="str">
        <f>IF($AA108=0,"",INDEX('13 - DATA &amp; LISTS'!$AI$30:$AI$436,$AA108))</f>
        <v/>
      </c>
      <c r="AA108">
        <f>IF(COUNTIF('13 - DATA &amp; LISTS'!$AK$30:$AK$436,"&lt;999999999999")&lt;100,0,MATCH(SMALL('13 - DATA &amp; LISTS'!$AK$30:$AK$436,100),'13 - DATA &amp; LISTS'!$AK$30:$AK$436,0))</f>
        <v>0</v>
      </c>
    </row>
    <row r="109" spans="1:27" ht="63.95" customHeight="1">
      <c r="A109" s="18" t="str">
        <f>IF($AA109=0,"",INDEX('13 - DATA &amp; LISTS'!$Y$30:$Y$436,$AA109))</f>
        <v/>
      </c>
      <c r="B109" s="18" t="str">
        <f>IF($AA109=0,"",INDEX('13 - DATA &amp; LISTS'!$Z$30:$Z$436,$AA109))</f>
        <v/>
      </c>
      <c r="C109" s="18" t="str">
        <f>IF($AA109=0,"",INDEX('13 - DATA &amp; LISTS'!$AA$30:$AA$436,$AA109))</f>
        <v/>
      </c>
      <c r="D109" s="18" t="str">
        <f>IF($AA109=0,"",INDEX('13 - DATA &amp; LISTS'!$AB$30:$AB$436,$AA109))</f>
        <v/>
      </c>
      <c r="E109" s="18" t="str">
        <f>IF($AA109=0,"",INDEX('13 - DATA &amp; LISTS'!$AC$30:$AC$436,$AA109))</f>
        <v/>
      </c>
      <c r="F109" s="18" t="str">
        <f>IF($AA109=0,"",INDEX('13 - DATA &amp; LISTS'!$AD$30:$AD$436,$AA109))</f>
        <v/>
      </c>
      <c r="G109" s="18" t="str">
        <f>IF($AA109=0,"",INDEX('13 - DATA &amp; LISTS'!$AE$30:$AE$436,$AA109))</f>
        <v/>
      </c>
      <c r="H109" s="19" t="str">
        <f>IF($AA109=0,"",INDEX('13 - DATA &amp; LISTS'!$AF$30:$AF$436,$AA109))</f>
        <v/>
      </c>
      <c r="I109" s="18" t="str">
        <f>IF($AA109=0,"",INDEX('13 - DATA &amp; LISTS'!$AG$30:$AG$436,$AA109))</f>
        <v/>
      </c>
      <c r="J109" s="18" t="str">
        <f>IF($AA109=0,"",INDEX('13 - DATA &amp; LISTS'!$AH$30:$AH$436,$AA109))</f>
        <v/>
      </c>
      <c r="K109" s="18" t="str">
        <f>IF($AA109=0,"",INDEX('13 - DATA &amp; LISTS'!$AI$30:$AI$436,$AA109))</f>
        <v/>
      </c>
      <c r="AA109">
        <f>IF(COUNTIF('13 - DATA &amp; LISTS'!$AK$30:$AK$436,"&lt;999999999999")&lt;101,0,MATCH(SMALL('13 - DATA &amp; LISTS'!$AK$30:$AK$436,101),'13 - DATA &amp; LISTS'!$AK$30:$AK$436,0))</f>
        <v>0</v>
      </c>
    </row>
    <row r="110" spans="1:27" ht="63.95" customHeight="1">
      <c r="A110" s="18" t="str">
        <f>IF($AA110=0,"",INDEX('13 - DATA &amp; LISTS'!$Y$30:$Y$436,$AA110))</f>
        <v/>
      </c>
      <c r="B110" s="18" t="str">
        <f>IF($AA110=0,"",INDEX('13 - DATA &amp; LISTS'!$Z$30:$Z$436,$AA110))</f>
        <v/>
      </c>
      <c r="C110" s="18" t="str">
        <f>IF($AA110=0,"",INDEX('13 - DATA &amp; LISTS'!$AA$30:$AA$436,$AA110))</f>
        <v/>
      </c>
      <c r="D110" s="18" t="str">
        <f>IF($AA110=0,"",INDEX('13 - DATA &amp; LISTS'!$AB$30:$AB$436,$AA110))</f>
        <v/>
      </c>
      <c r="E110" s="18" t="str">
        <f>IF($AA110=0,"",INDEX('13 - DATA &amp; LISTS'!$AC$30:$AC$436,$AA110))</f>
        <v/>
      </c>
      <c r="F110" s="18" t="str">
        <f>IF($AA110=0,"",INDEX('13 - DATA &amp; LISTS'!$AD$30:$AD$436,$AA110))</f>
        <v/>
      </c>
      <c r="G110" s="18" t="str">
        <f>IF($AA110=0,"",INDEX('13 - DATA &amp; LISTS'!$AE$30:$AE$436,$AA110))</f>
        <v/>
      </c>
      <c r="H110" s="19" t="str">
        <f>IF($AA110=0,"",INDEX('13 - DATA &amp; LISTS'!$AF$30:$AF$436,$AA110))</f>
        <v/>
      </c>
      <c r="I110" s="18" t="str">
        <f>IF($AA110=0,"",INDEX('13 - DATA &amp; LISTS'!$AG$30:$AG$436,$AA110))</f>
        <v/>
      </c>
      <c r="J110" s="18" t="str">
        <f>IF($AA110=0,"",INDEX('13 - DATA &amp; LISTS'!$AH$30:$AH$436,$AA110))</f>
        <v/>
      </c>
      <c r="K110" s="18" t="str">
        <f>IF($AA110=0,"",INDEX('13 - DATA &amp; LISTS'!$AI$30:$AI$436,$AA110))</f>
        <v/>
      </c>
      <c r="AA110">
        <f>IF(COUNTIF('13 - DATA &amp; LISTS'!$AK$30:$AK$436,"&lt;999999999999")&lt;102,0,MATCH(SMALL('13 - DATA &amp; LISTS'!$AK$30:$AK$436,102),'13 - DATA &amp; LISTS'!$AK$30:$AK$436,0))</f>
        <v>0</v>
      </c>
    </row>
    <row r="111" spans="1:27" ht="63.95" customHeight="1">
      <c r="A111" s="18" t="str">
        <f>IF($AA111=0,"",INDEX('13 - DATA &amp; LISTS'!$Y$30:$Y$436,$AA111))</f>
        <v/>
      </c>
      <c r="B111" s="18" t="str">
        <f>IF($AA111=0,"",INDEX('13 - DATA &amp; LISTS'!$Z$30:$Z$436,$AA111))</f>
        <v/>
      </c>
      <c r="C111" s="18" t="str">
        <f>IF($AA111=0,"",INDEX('13 - DATA &amp; LISTS'!$AA$30:$AA$436,$AA111))</f>
        <v/>
      </c>
      <c r="D111" s="18" t="str">
        <f>IF($AA111=0,"",INDEX('13 - DATA &amp; LISTS'!$AB$30:$AB$436,$AA111))</f>
        <v/>
      </c>
      <c r="E111" s="18" t="str">
        <f>IF($AA111=0,"",INDEX('13 - DATA &amp; LISTS'!$AC$30:$AC$436,$AA111))</f>
        <v/>
      </c>
      <c r="F111" s="18" t="str">
        <f>IF($AA111=0,"",INDEX('13 - DATA &amp; LISTS'!$AD$30:$AD$436,$AA111))</f>
        <v/>
      </c>
      <c r="G111" s="18" t="str">
        <f>IF($AA111=0,"",INDEX('13 - DATA &amp; LISTS'!$AE$30:$AE$436,$AA111))</f>
        <v/>
      </c>
      <c r="H111" s="19" t="str">
        <f>IF($AA111=0,"",INDEX('13 - DATA &amp; LISTS'!$AF$30:$AF$436,$AA111))</f>
        <v/>
      </c>
      <c r="I111" s="18" t="str">
        <f>IF($AA111=0,"",INDEX('13 - DATA &amp; LISTS'!$AG$30:$AG$436,$AA111))</f>
        <v/>
      </c>
      <c r="J111" s="18" t="str">
        <f>IF($AA111=0,"",INDEX('13 - DATA &amp; LISTS'!$AH$30:$AH$436,$AA111))</f>
        <v/>
      </c>
      <c r="K111" s="18" t="str">
        <f>IF($AA111=0,"",INDEX('13 - DATA &amp; LISTS'!$AI$30:$AI$436,$AA111))</f>
        <v/>
      </c>
      <c r="AA111">
        <f>IF(COUNTIF('13 - DATA &amp; LISTS'!$AK$30:$AK$436,"&lt;999999999999")&lt;103,0,MATCH(SMALL('13 - DATA &amp; LISTS'!$AK$30:$AK$436,103),'13 - DATA &amp; LISTS'!$AK$30:$AK$436,0))</f>
        <v>0</v>
      </c>
    </row>
    <row r="112" spans="1:27" ht="63.95" customHeight="1">
      <c r="A112" s="18" t="str">
        <f>IF($AA112=0,"",INDEX('13 - DATA &amp; LISTS'!$Y$30:$Y$436,$AA112))</f>
        <v/>
      </c>
      <c r="B112" s="18" t="str">
        <f>IF($AA112=0,"",INDEX('13 - DATA &amp; LISTS'!$Z$30:$Z$436,$AA112))</f>
        <v/>
      </c>
      <c r="C112" s="18" t="str">
        <f>IF($AA112=0,"",INDEX('13 - DATA &amp; LISTS'!$AA$30:$AA$436,$AA112))</f>
        <v/>
      </c>
      <c r="D112" s="18" t="str">
        <f>IF($AA112=0,"",INDEX('13 - DATA &amp; LISTS'!$AB$30:$AB$436,$AA112))</f>
        <v/>
      </c>
      <c r="E112" s="18" t="str">
        <f>IF($AA112=0,"",INDEX('13 - DATA &amp; LISTS'!$AC$30:$AC$436,$AA112))</f>
        <v/>
      </c>
      <c r="F112" s="18" t="str">
        <f>IF($AA112=0,"",INDEX('13 - DATA &amp; LISTS'!$AD$30:$AD$436,$AA112))</f>
        <v/>
      </c>
      <c r="G112" s="18" t="str">
        <f>IF($AA112=0,"",INDEX('13 - DATA &amp; LISTS'!$AE$30:$AE$436,$AA112))</f>
        <v/>
      </c>
      <c r="H112" s="19" t="str">
        <f>IF($AA112=0,"",INDEX('13 - DATA &amp; LISTS'!$AF$30:$AF$436,$AA112))</f>
        <v/>
      </c>
      <c r="I112" s="18" t="str">
        <f>IF($AA112=0,"",INDEX('13 - DATA &amp; LISTS'!$AG$30:$AG$436,$AA112))</f>
        <v/>
      </c>
      <c r="J112" s="18" t="str">
        <f>IF($AA112=0,"",INDEX('13 - DATA &amp; LISTS'!$AH$30:$AH$436,$AA112))</f>
        <v/>
      </c>
      <c r="K112" s="18" t="str">
        <f>IF($AA112=0,"",INDEX('13 - DATA &amp; LISTS'!$AI$30:$AI$436,$AA112))</f>
        <v/>
      </c>
      <c r="AA112">
        <f>IF(COUNTIF('13 - DATA &amp; LISTS'!$AK$30:$AK$436,"&lt;999999999999")&lt;104,0,MATCH(SMALL('13 - DATA &amp; LISTS'!$AK$30:$AK$436,104),'13 - DATA &amp; LISTS'!$AK$30:$AK$436,0))</f>
        <v>0</v>
      </c>
    </row>
    <row r="113" spans="1:27" ht="63.95" customHeight="1">
      <c r="A113" s="18" t="str">
        <f>IF($AA113=0,"",INDEX('13 - DATA &amp; LISTS'!$Y$30:$Y$436,$AA113))</f>
        <v/>
      </c>
      <c r="B113" s="18" t="str">
        <f>IF($AA113=0,"",INDEX('13 - DATA &amp; LISTS'!$Z$30:$Z$436,$AA113))</f>
        <v/>
      </c>
      <c r="C113" s="18" t="str">
        <f>IF($AA113=0,"",INDEX('13 - DATA &amp; LISTS'!$AA$30:$AA$436,$AA113))</f>
        <v/>
      </c>
      <c r="D113" s="18" t="str">
        <f>IF($AA113=0,"",INDEX('13 - DATA &amp; LISTS'!$AB$30:$AB$436,$AA113))</f>
        <v/>
      </c>
      <c r="E113" s="18" t="str">
        <f>IF($AA113=0,"",INDEX('13 - DATA &amp; LISTS'!$AC$30:$AC$436,$AA113))</f>
        <v/>
      </c>
      <c r="F113" s="18" t="str">
        <f>IF($AA113=0,"",INDEX('13 - DATA &amp; LISTS'!$AD$30:$AD$436,$AA113))</f>
        <v/>
      </c>
      <c r="G113" s="18" t="str">
        <f>IF($AA113=0,"",INDEX('13 - DATA &amp; LISTS'!$AE$30:$AE$436,$AA113))</f>
        <v/>
      </c>
      <c r="H113" s="19" t="str">
        <f>IF($AA113=0,"",INDEX('13 - DATA &amp; LISTS'!$AF$30:$AF$436,$AA113))</f>
        <v/>
      </c>
      <c r="I113" s="18" t="str">
        <f>IF($AA113=0,"",INDEX('13 - DATA &amp; LISTS'!$AG$30:$AG$436,$AA113))</f>
        <v/>
      </c>
      <c r="J113" s="18" t="str">
        <f>IF($AA113=0,"",INDEX('13 - DATA &amp; LISTS'!$AH$30:$AH$436,$AA113))</f>
        <v/>
      </c>
      <c r="K113" s="18" t="str">
        <f>IF($AA113=0,"",INDEX('13 - DATA &amp; LISTS'!$AI$30:$AI$436,$AA113))</f>
        <v/>
      </c>
      <c r="AA113">
        <f>IF(COUNTIF('13 - DATA &amp; LISTS'!$AK$30:$AK$436,"&lt;999999999999")&lt;105,0,MATCH(SMALL('13 - DATA &amp; LISTS'!$AK$30:$AK$436,105),'13 - DATA &amp; LISTS'!$AK$30:$AK$436,0))</f>
        <v>0</v>
      </c>
    </row>
    <row r="114" spans="1:27" ht="63.95" customHeight="1">
      <c r="A114" s="18" t="str">
        <f>IF($AA114=0,"",INDEX('13 - DATA &amp; LISTS'!$Y$30:$Y$436,$AA114))</f>
        <v/>
      </c>
      <c r="B114" s="18" t="str">
        <f>IF($AA114=0,"",INDEX('13 - DATA &amp; LISTS'!$Z$30:$Z$436,$AA114))</f>
        <v/>
      </c>
      <c r="C114" s="18" t="str">
        <f>IF($AA114=0,"",INDEX('13 - DATA &amp; LISTS'!$AA$30:$AA$436,$AA114))</f>
        <v/>
      </c>
      <c r="D114" s="18" t="str">
        <f>IF($AA114=0,"",INDEX('13 - DATA &amp; LISTS'!$AB$30:$AB$436,$AA114))</f>
        <v/>
      </c>
      <c r="E114" s="18" t="str">
        <f>IF($AA114=0,"",INDEX('13 - DATA &amp; LISTS'!$AC$30:$AC$436,$AA114))</f>
        <v/>
      </c>
      <c r="F114" s="18" t="str">
        <f>IF($AA114=0,"",INDEX('13 - DATA &amp; LISTS'!$AD$30:$AD$436,$AA114))</f>
        <v/>
      </c>
      <c r="G114" s="18" t="str">
        <f>IF($AA114=0,"",INDEX('13 - DATA &amp; LISTS'!$AE$30:$AE$436,$AA114))</f>
        <v/>
      </c>
      <c r="H114" s="19" t="str">
        <f>IF($AA114=0,"",INDEX('13 - DATA &amp; LISTS'!$AF$30:$AF$436,$AA114))</f>
        <v/>
      </c>
      <c r="I114" s="18" t="str">
        <f>IF($AA114=0,"",INDEX('13 - DATA &amp; LISTS'!$AG$30:$AG$436,$AA114))</f>
        <v/>
      </c>
      <c r="J114" s="18" t="str">
        <f>IF($AA114=0,"",INDEX('13 - DATA &amp; LISTS'!$AH$30:$AH$436,$AA114))</f>
        <v/>
      </c>
      <c r="K114" s="18" t="str">
        <f>IF($AA114=0,"",INDEX('13 - DATA &amp; LISTS'!$AI$30:$AI$436,$AA114))</f>
        <v/>
      </c>
      <c r="AA114">
        <f>IF(COUNTIF('13 - DATA &amp; LISTS'!$AK$30:$AK$436,"&lt;999999999999")&lt;106,0,MATCH(SMALL('13 - DATA &amp; LISTS'!$AK$30:$AK$436,106),'13 - DATA &amp; LISTS'!$AK$30:$AK$436,0))</f>
        <v>0</v>
      </c>
    </row>
    <row r="115" spans="1:27" ht="63.95" customHeight="1">
      <c r="A115" s="18" t="str">
        <f>IF($AA115=0,"",INDEX('13 - DATA &amp; LISTS'!$Y$30:$Y$436,$AA115))</f>
        <v/>
      </c>
      <c r="B115" s="18" t="str">
        <f>IF($AA115=0,"",INDEX('13 - DATA &amp; LISTS'!$Z$30:$Z$436,$AA115))</f>
        <v/>
      </c>
      <c r="C115" s="18" t="str">
        <f>IF($AA115=0,"",INDEX('13 - DATA &amp; LISTS'!$AA$30:$AA$436,$AA115))</f>
        <v/>
      </c>
      <c r="D115" s="18" t="str">
        <f>IF($AA115=0,"",INDEX('13 - DATA &amp; LISTS'!$AB$30:$AB$436,$AA115))</f>
        <v/>
      </c>
      <c r="E115" s="18" t="str">
        <f>IF($AA115=0,"",INDEX('13 - DATA &amp; LISTS'!$AC$30:$AC$436,$AA115))</f>
        <v/>
      </c>
      <c r="F115" s="18" t="str">
        <f>IF($AA115=0,"",INDEX('13 - DATA &amp; LISTS'!$AD$30:$AD$436,$AA115))</f>
        <v/>
      </c>
      <c r="G115" s="18" t="str">
        <f>IF($AA115=0,"",INDEX('13 - DATA &amp; LISTS'!$AE$30:$AE$436,$AA115))</f>
        <v/>
      </c>
      <c r="H115" s="19" t="str">
        <f>IF($AA115=0,"",INDEX('13 - DATA &amp; LISTS'!$AF$30:$AF$436,$AA115))</f>
        <v/>
      </c>
      <c r="I115" s="18" t="str">
        <f>IF($AA115=0,"",INDEX('13 - DATA &amp; LISTS'!$AG$30:$AG$436,$AA115))</f>
        <v/>
      </c>
      <c r="J115" s="18" t="str">
        <f>IF($AA115=0,"",INDEX('13 - DATA &amp; LISTS'!$AH$30:$AH$436,$AA115))</f>
        <v/>
      </c>
      <c r="K115" s="18" t="str">
        <f>IF($AA115=0,"",INDEX('13 - DATA &amp; LISTS'!$AI$30:$AI$436,$AA115))</f>
        <v/>
      </c>
      <c r="AA115">
        <f>IF(COUNTIF('13 - DATA &amp; LISTS'!$AK$30:$AK$436,"&lt;999999999999")&lt;107,0,MATCH(SMALL('13 - DATA &amp; LISTS'!$AK$30:$AK$436,107),'13 - DATA &amp; LISTS'!$AK$30:$AK$436,0))</f>
        <v>0</v>
      </c>
    </row>
    <row r="116" spans="1:27" ht="63.95" customHeight="1">
      <c r="A116" s="18" t="str">
        <f>IF($AA116=0,"",INDEX('13 - DATA &amp; LISTS'!$Y$30:$Y$436,$AA116))</f>
        <v/>
      </c>
      <c r="B116" s="18" t="str">
        <f>IF($AA116=0,"",INDEX('13 - DATA &amp; LISTS'!$Z$30:$Z$436,$AA116))</f>
        <v/>
      </c>
      <c r="C116" s="18" t="str">
        <f>IF($AA116=0,"",INDEX('13 - DATA &amp; LISTS'!$AA$30:$AA$436,$AA116))</f>
        <v/>
      </c>
      <c r="D116" s="18" t="str">
        <f>IF($AA116=0,"",INDEX('13 - DATA &amp; LISTS'!$AB$30:$AB$436,$AA116))</f>
        <v/>
      </c>
      <c r="E116" s="18" t="str">
        <f>IF($AA116=0,"",INDEX('13 - DATA &amp; LISTS'!$AC$30:$AC$436,$AA116))</f>
        <v/>
      </c>
      <c r="F116" s="18" t="str">
        <f>IF($AA116=0,"",INDEX('13 - DATA &amp; LISTS'!$AD$30:$AD$436,$AA116))</f>
        <v/>
      </c>
      <c r="G116" s="18" t="str">
        <f>IF($AA116=0,"",INDEX('13 - DATA &amp; LISTS'!$AE$30:$AE$436,$AA116))</f>
        <v/>
      </c>
      <c r="H116" s="19" t="str">
        <f>IF($AA116=0,"",INDEX('13 - DATA &amp; LISTS'!$AF$30:$AF$436,$AA116))</f>
        <v/>
      </c>
      <c r="I116" s="18" t="str">
        <f>IF($AA116=0,"",INDEX('13 - DATA &amp; LISTS'!$AG$30:$AG$436,$AA116))</f>
        <v/>
      </c>
      <c r="J116" s="18" t="str">
        <f>IF($AA116=0,"",INDEX('13 - DATA &amp; LISTS'!$AH$30:$AH$436,$AA116))</f>
        <v/>
      </c>
      <c r="K116" s="18" t="str">
        <f>IF($AA116=0,"",INDEX('13 - DATA &amp; LISTS'!$AI$30:$AI$436,$AA116))</f>
        <v/>
      </c>
      <c r="AA116">
        <f>IF(COUNTIF('13 - DATA &amp; LISTS'!$AK$30:$AK$436,"&lt;999999999999")&lt;108,0,MATCH(SMALL('13 - DATA &amp; LISTS'!$AK$30:$AK$436,108),'13 - DATA &amp; LISTS'!$AK$30:$AK$436,0))</f>
        <v>0</v>
      </c>
    </row>
    <row r="117" spans="1:27" ht="63.95" customHeight="1">
      <c r="A117" s="18" t="str">
        <f>IF($AA117=0,"",INDEX('13 - DATA &amp; LISTS'!$Y$30:$Y$436,$AA117))</f>
        <v/>
      </c>
      <c r="B117" s="18" t="str">
        <f>IF($AA117=0,"",INDEX('13 - DATA &amp; LISTS'!$Z$30:$Z$436,$AA117))</f>
        <v/>
      </c>
      <c r="C117" s="18" t="str">
        <f>IF($AA117=0,"",INDEX('13 - DATA &amp; LISTS'!$AA$30:$AA$436,$AA117))</f>
        <v/>
      </c>
      <c r="D117" s="18" t="str">
        <f>IF($AA117=0,"",INDEX('13 - DATA &amp; LISTS'!$AB$30:$AB$436,$AA117))</f>
        <v/>
      </c>
      <c r="E117" s="18" t="str">
        <f>IF($AA117=0,"",INDEX('13 - DATA &amp; LISTS'!$AC$30:$AC$436,$AA117))</f>
        <v/>
      </c>
      <c r="F117" s="18" t="str">
        <f>IF($AA117=0,"",INDEX('13 - DATA &amp; LISTS'!$AD$30:$AD$436,$AA117))</f>
        <v/>
      </c>
      <c r="G117" s="18" t="str">
        <f>IF($AA117=0,"",INDEX('13 - DATA &amp; LISTS'!$AE$30:$AE$436,$AA117))</f>
        <v/>
      </c>
      <c r="H117" s="19" t="str">
        <f>IF($AA117=0,"",INDEX('13 - DATA &amp; LISTS'!$AF$30:$AF$436,$AA117))</f>
        <v/>
      </c>
      <c r="I117" s="18" t="str">
        <f>IF($AA117=0,"",INDEX('13 - DATA &amp; LISTS'!$AG$30:$AG$436,$AA117))</f>
        <v/>
      </c>
      <c r="J117" s="18" t="str">
        <f>IF($AA117=0,"",INDEX('13 - DATA &amp; LISTS'!$AH$30:$AH$436,$AA117))</f>
        <v/>
      </c>
      <c r="K117" s="18" t="str">
        <f>IF($AA117=0,"",INDEX('13 - DATA &amp; LISTS'!$AI$30:$AI$436,$AA117))</f>
        <v/>
      </c>
      <c r="AA117">
        <f>IF(COUNTIF('13 - DATA &amp; LISTS'!$AK$30:$AK$436,"&lt;999999999999")&lt;109,0,MATCH(SMALL('13 - DATA &amp; LISTS'!$AK$30:$AK$436,109),'13 - DATA &amp; LISTS'!$AK$30:$AK$436,0))</f>
        <v>0</v>
      </c>
    </row>
    <row r="118" spans="1:27" ht="63.95" customHeight="1">
      <c r="A118" s="18" t="str">
        <f>IF($AA118=0,"",INDEX('13 - DATA &amp; LISTS'!$Y$30:$Y$436,$AA118))</f>
        <v/>
      </c>
      <c r="B118" s="18" t="str">
        <f>IF($AA118=0,"",INDEX('13 - DATA &amp; LISTS'!$Z$30:$Z$436,$AA118))</f>
        <v/>
      </c>
      <c r="C118" s="18" t="str">
        <f>IF($AA118=0,"",INDEX('13 - DATA &amp; LISTS'!$AA$30:$AA$436,$AA118))</f>
        <v/>
      </c>
      <c r="D118" s="18" t="str">
        <f>IF($AA118=0,"",INDEX('13 - DATA &amp; LISTS'!$AB$30:$AB$436,$AA118))</f>
        <v/>
      </c>
      <c r="E118" s="18" t="str">
        <f>IF($AA118=0,"",INDEX('13 - DATA &amp; LISTS'!$AC$30:$AC$436,$AA118))</f>
        <v/>
      </c>
      <c r="F118" s="18" t="str">
        <f>IF($AA118=0,"",INDEX('13 - DATA &amp; LISTS'!$AD$30:$AD$436,$AA118))</f>
        <v/>
      </c>
      <c r="G118" s="18" t="str">
        <f>IF($AA118=0,"",INDEX('13 - DATA &amp; LISTS'!$AE$30:$AE$436,$AA118))</f>
        <v/>
      </c>
      <c r="H118" s="19" t="str">
        <f>IF($AA118=0,"",INDEX('13 - DATA &amp; LISTS'!$AF$30:$AF$436,$AA118))</f>
        <v/>
      </c>
      <c r="I118" s="18" t="str">
        <f>IF($AA118=0,"",INDEX('13 - DATA &amp; LISTS'!$AG$30:$AG$436,$AA118))</f>
        <v/>
      </c>
      <c r="J118" s="18" t="str">
        <f>IF($AA118=0,"",INDEX('13 - DATA &amp; LISTS'!$AH$30:$AH$436,$AA118))</f>
        <v/>
      </c>
      <c r="K118" s="18" t="str">
        <f>IF($AA118=0,"",INDEX('13 - DATA &amp; LISTS'!$AI$30:$AI$436,$AA118))</f>
        <v/>
      </c>
      <c r="AA118">
        <f>IF(COUNTIF('13 - DATA &amp; LISTS'!$AK$30:$AK$436,"&lt;999999999999")&lt;110,0,MATCH(SMALL('13 - DATA &amp; LISTS'!$AK$30:$AK$436,110),'13 - DATA &amp; LISTS'!$AK$30:$AK$436,0))</f>
        <v>0</v>
      </c>
    </row>
    <row r="119" spans="1:27" ht="63.95" customHeight="1">
      <c r="A119" s="18" t="str">
        <f>IF($AA119=0,"",INDEX('13 - DATA &amp; LISTS'!$Y$30:$Y$436,$AA119))</f>
        <v/>
      </c>
      <c r="B119" s="18" t="str">
        <f>IF($AA119=0,"",INDEX('13 - DATA &amp; LISTS'!$Z$30:$Z$436,$AA119))</f>
        <v/>
      </c>
      <c r="C119" s="18" t="str">
        <f>IF($AA119=0,"",INDEX('13 - DATA &amp; LISTS'!$AA$30:$AA$436,$AA119))</f>
        <v/>
      </c>
      <c r="D119" s="18" t="str">
        <f>IF($AA119=0,"",INDEX('13 - DATA &amp; LISTS'!$AB$30:$AB$436,$AA119))</f>
        <v/>
      </c>
      <c r="E119" s="18" t="str">
        <f>IF($AA119=0,"",INDEX('13 - DATA &amp; LISTS'!$AC$30:$AC$436,$AA119))</f>
        <v/>
      </c>
      <c r="F119" s="18" t="str">
        <f>IF($AA119=0,"",INDEX('13 - DATA &amp; LISTS'!$AD$30:$AD$436,$AA119))</f>
        <v/>
      </c>
      <c r="G119" s="18" t="str">
        <f>IF($AA119=0,"",INDEX('13 - DATA &amp; LISTS'!$AE$30:$AE$436,$AA119))</f>
        <v/>
      </c>
      <c r="H119" s="19" t="str">
        <f>IF($AA119=0,"",INDEX('13 - DATA &amp; LISTS'!$AF$30:$AF$436,$AA119))</f>
        <v/>
      </c>
      <c r="I119" s="18" t="str">
        <f>IF($AA119=0,"",INDEX('13 - DATA &amp; LISTS'!$AG$30:$AG$436,$AA119))</f>
        <v/>
      </c>
      <c r="J119" s="18" t="str">
        <f>IF($AA119=0,"",INDEX('13 - DATA &amp; LISTS'!$AH$30:$AH$436,$AA119))</f>
        <v/>
      </c>
      <c r="K119" s="18" t="str">
        <f>IF($AA119=0,"",INDEX('13 - DATA &amp; LISTS'!$AI$30:$AI$436,$AA119))</f>
        <v/>
      </c>
      <c r="AA119">
        <f>IF(COUNTIF('13 - DATA &amp; LISTS'!$AK$30:$AK$436,"&lt;999999999999")&lt;111,0,MATCH(SMALL('13 - DATA &amp; LISTS'!$AK$30:$AK$436,111),'13 - DATA &amp; LISTS'!$AK$30:$AK$436,0))</f>
        <v>0</v>
      </c>
    </row>
    <row r="120" spans="1:27" ht="63.95" customHeight="1">
      <c r="A120" s="18" t="str">
        <f>IF($AA120=0,"",INDEX('13 - DATA &amp; LISTS'!$Y$30:$Y$436,$AA120))</f>
        <v/>
      </c>
      <c r="B120" s="18" t="str">
        <f>IF($AA120=0,"",INDEX('13 - DATA &amp; LISTS'!$Z$30:$Z$436,$AA120))</f>
        <v/>
      </c>
      <c r="C120" s="18" t="str">
        <f>IF($AA120=0,"",INDEX('13 - DATA &amp; LISTS'!$AA$30:$AA$436,$AA120))</f>
        <v/>
      </c>
      <c r="D120" s="18" t="str">
        <f>IF($AA120=0,"",INDEX('13 - DATA &amp; LISTS'!$AB$30:$AB$436,$AA120))</f>
        <v/>
      </c>
      <c r="E120" s="18" t="str">
        <f>IF($AA120=0,"",INDEX('13 - DATA &amp; LISTS'!$AC$30:$AC$436,$AA120))</f>
        <v/>
      </c>
      <c r="F120" s="18" t="str">
        <f>IF($AA120=0,"",INDEX('13 - DATA &amp; LISTS'!$AD$30:$AD$436,$AA120))</f>
        <v/>
      </c>
      <c r="G120" s="18" t="str">
        <f>IF($AA120=0,"",INDEX('13 - DATA &amp; LISTS'!$AE$30:$AE$436,$AA120))</f>
        <v/>
      </c>
      <c r="H120" s="19" t="str">
        <f>IF($AA120=0,"",INDEX('13 - DATA &amp; LISTS'!$AF$30:$AF$436,$AA120))</f>
        <v/>
      </c>
      <c r="I120" s="18" t="str">
        <f>IF($AA120=0,"",INDEX('13 - DATA &amp; LISTS'!$AG$30:$AG$436,$AA120))</f>
        <v/>
      </c>
      <c r="J120" s="18" t="str">
        <f>IF($AA120=0,"",INDEX('13 - DATA &amp; LISTS'!$AH$30:$AH$436,$AA120))</f>
        <v/>
      </c>
      <c r="K120" s="18" t="str">
        <f>IF($AA120=0,"",INDEX('13 - DATA &amp; LISTS'!$AI$30:$AI$436,$AA120))</f>
        <v/>
      </c>
      <c r="AA120">
        <f>IF(COUNTIF('13 - DATA &amp; LISTS'!$AK$30:$AK$436,"&lt;999999999999")&lt;112,0,MATCH(SMALL('13 - DATA &amp; LISTS'!$AK$30:$AK$436,112),'13 - DATA &amp; LISTS'!$AK$30:$AK$436,0))</f>
        <v>0</v>
      </c>
    </row>
    <row r="121" spans="1:27" ht="63.95" customHeight="1">
      <c r="A121" s="18" t="str">
        <f>IF($AA121=0,"",INDEX('13 - DATA &amp; LISTS'!$Y$30:$Y$436,$AA121))</f>
        <v/>
      </c>
      <c r="B121" s="18" t="str">
        <f>IF($AA121=0,"",INDEX('13 - DATA &amp; LISTS'!$Z$30:$Z$436,$AA121))</f>
        <v/>
      </c>
      <c r="C121" s="18" t="str">
        <f>IF($AA121=0,"",INDEX('13 - DATA &amp; LISTS'!$AA$30:$AA$436,$AA121))</f>
        <v/>
      </c>
      <c r="D121" s="18" t="str">
        <f>IF($AA121=0,"",INDEX('13 - DATA &amp; LISTS'!$AB$30:$AB$436,$AA121))</f>
        <v/>
      </c>
      <c r="E121" s="18" t="str">
        <f>IF($AA121=0,"",INDEX('13 - DATA &amp; LISTS'!$AC$30:$AC$436,$AA121))</f>
        <v/>
      </c>
      <c r="F121" s="18" t="str">
        <f>IF($AA121=0,"",INDEX('13 - DATA &amp; LISTS'!$AD$30:$AD$436,$AA121))</f>
        <v/>
      </c>
      <c r="G121" s="18" t="str">
        <f>IF($AA121=0,"",INDEX('13 - DATA &amp; LISTS'!$AE$30:$AE$436,$AA121))</f>
        <v/>
      </c>
      <c r="H121" s="19" t="str">
        <f>IF($AA121=0,"",INDEX('13 - DATA &amp; LISTS'!$AF$30:$AF$436,$AA121))</f>
        <v/>
      </c>
      <c r="I121" s="18" t="str">
        <f>IF($AA121=0,"",INDEX('13 - DATA &amp; LISTS'!$AG$30:$AG$436,$AA121))</f>
        <v/>
      </c>
      <c r="J121" s="18" t="str">
        <f>IF($AA121=0,"",INDEX('13 - DATA &amp; LISTS'!$AH$30:$AH$436,$AA121))</f>
        <v/>
      </c>
      <c r="K121" s="18" t="str">
        <f>IF($AA121=0,"",INDEX('13 - DATA &amp; LISTS'!$AI$30:$AI$436,$AA121))</f>
        <v/>
      </c>
      <c r="AA121">
        <f>IF(COUNTIF('13 - DATA &amp; LISTS'!$AK$30:$AK$436,"&lt;999999999999")&lt;113,0,MATCH(SMALL('13 - DATA &amp; LISTS'!$AK$30:$AK$436,113),'13 - DATA &amp; LISTS'!$AK$30:$AK$436,0))</f>
        <v>0</v>
      </c>
    </row>
    <row r="122" spans="1:27" ht="63.95" customHeight="1">
      <c r="A122" s="18" t="str">
        <f>IF($AA122=0,"",INDEX('13 - DATA &amp; LISTS'!$Y$30:$Y$436,$AA122))</f>
        <v/>
      </c>
      <c r="B122" s="18" t="str">
        <f>IF($AA122=0,"",INDEX('13 - DATA &amp; LISTS'!$Z$30:$Z$436,$AA122))</f>
        <v/>
      </c>
      <c r="C122" s="18" t="str">
        <f>IF($AA122=0,"",INDEX('13 - DATA &amp; LISTS'!$AA$30:$AA$436,$AA122))</f>
        <v/>
      </c>
      <c r="D122" s="18" t="str">
        <f>IF($AA122=0,"",INDEX('13 - DATA &amp; LISTS'!$AB$30:$AB$436,$AA122))</f>
        <v/>
      </c>
      <c r="E122" s="18" t="str">
        <f>IF($AA122=0,"",INDEX('13 - DATA &amp; LISTS'!$AC$30:$AC$436,$AA122))</f>
        <v/>
      </c>
      <c r="F122" s="18" t="str">
        <f>IF($AA122=0,"",INDEX('13 - DATA &amp; LISTS'!$AD$30:$AD$436,$AA122))</f>
        <v/>
      </c>
      <c r="G122" s="18" t="str">
        <f>IF($AA122=0,"",INDEX('13 - DATA &amp; LISTS'!$AE$30:$AE$436,$AA122))</f>
        <v/>
      </c>
      <c r="H122" s="19" t="str">
        <f>IF($AA122=0,"",INDEX('13 - DATA &amp; LISTS'!$AF$30:$AF$436,$AA122))</f>
        <v/>
      </c>
      <c r="I122" s="18" t="str">
        <f>IF($AA122=0,"",INDEX('13 - DATA &amp; LISTS'!$AG$30:$AG$436,$AA122))</f>
        <v/>
      </c>
      <c r="J122" s="18" t="str">
        <f>IF($AA122=0,"",INDEX('13 - DATA &amp; LISTS'!$AH$30:$AH$436,$AA122))</f>
        <v/>
      </c>
      <c r="K122" s="18" t="str">
        <f>IF($AA122=0,"",INDEX('13 - DATA &amp; LISTS'!$AI$30:$AI$436,$AA122))</f>
        <v/>
      </c>
      <c r="AA122">
        <f>IF(COUNTIF('13 - DATA &amp; LISTS'!$AK$30:$AK$436,"&lt;999999999999")&lt;114,0,MATCH(SMALL('13 - DATA &amp; LISTS'!$AK$30:$AK$436,114),'13 - DATA &amp; LISTS'!$AK$30:$AK$436,0))</f>
        <v>0</v>
      </c>
    </row>
    <row r="123" spans="1:27" ht="63.95" customHeight="1">
      <c r="A123" s="18" t="str">
        <f>IF($AA123=0,"",INDEX('13 - DATA &amp; LISTS'!$Y$30:$Y$436,$AA123))</f>
        <v/>
      </c>
      <c r="B123" s="18" t="str">
        <f>IF($AA123=0,"",INDEX('13 - DATA &amp; LISTS'!$Z$30:$Z$436,$AA123))</f>
        <v/>
      </c>
      <c r="C123" s="18" t="str">
        <f>IF($AA123=0,"",INDEX('13 - DATA &amp; LISTS'!$AA$30:$AA$436,$AA123))</f>
        <v/>
      </c>
      <c r="D123" s="18" t="str">
        <f>IF($AA123=0,"",INDEX('13 - DATA &amp; LISTS'!$AB$30:$AB$436,$AA123))</f>
        <v/>
      </c>
      <c r="E123" s="18" t="str">
        <f>IF($AA123=0,"",INDEX('13 - DATA &amp; LISTS'!$AC$30:$AC$436,$AA123))</f>
        <v/>
      </c>
      <c r="F123" s="18" t="str">
        <f>IF($AA123=0,"",INDEX('13 - DATA &amp; LISTS'!$AD$30:$AD$436,$AA123))</f>
        <v/>
      </c>
      <c r="G123" s="18" t="str">
        <f>IF($AA123=0,"",INDEX('13 - DATA &amp; LISTS'!$AE$30:$AE$436,$AA123))</f>
        <v/>
      </c>
      <c r="H123" s="19" t="str">
        <f>IF($AA123=0,"",INDEX('13 - DATA &amp; LISTS'!$AF$30:$AF$436,$AA123))</f>
        <v/>
      </c>
      <c r="I123" s="18" t="str">
        <f>IF($AA123=0,"",INDEX('13 - DATA &amp; LISTS'!$AG$30:$AG$436,$AA123))</f>
        <v/>
      </c>
      <c r="J123" s="18" t="str">
        <f>IF($AA123=0,"",INDEX('13 - DATA &amp; LISTS'!$AH$30:$AH$436,$AA123))</f>
        <v/>
      </c>
      <c r="K123" s="18" t="str">
        <f>IF($AA123=0,"",INDEX('13 - DATA &amp; LISTS'!$AI$30:$AI$436,$AA123))</f>
        <v/>
      </c>
      <c r="AA123">
        <f>IF(COUNTIF('13 - DATA &amp; LISTS'!$AK$30:$AK$436,"&lt;999999999999")&lt;115,0,MATCH(SMALL('13 - DATA &amp; LISTS'!$AK$30:$AK$436,115),'13 - DATA &amp; LISTS'!$AK$30:$AK$436,0))</f>
        <v>0</v>
      </c>
    </row>
    <row r="124" spans="1:27" ht="63.95" customHeight="1">
      <c r="A124" s="18" t="str">
        <f>IF($AA124=0,"",INDEX('13 - DATA &amp; LISTS'!$Y$30:$Y$436,$AA124))</f>
        <v/>
      </c>
      <c r="B124" s="18" t="str">
        <f>IF($AA124=0,"",INDEX('13 - DATA &amp; LISTS'!$Z$30:$Z$436,$AA124))</f>
        <v/>
      </c>
      <c r="C124" s="18" t="str">
        <f>IF($AA124=0,"",INDEX('13 - DATA &amp; LISTS'!$AA$30:$AA$436,$AA124))</f>
        <v/>
      </c>
      <c r="D124" s="18" t="str">
        <f>IF($AA124=0,"",INDEX('13 - DATA &amp; LISTS'!$AB$30:$AB$436,$AA124))</f>
        <v/>
      </c>
      <c r="E124" s="18" t="str">
        <f>IF($AA124=0,"",INDEX('13 - DATA &amp; LISTS'!$AC$30:$AC$436,$AA124))</f>
        <v/>
      </c>
      <c r="F124" s="18" t="str">
        <f>IF($AA124=0,"",INDEX('13 - DATA &amp; LISTS'!$AD$30:$AD$436,$AA124))</f>
        <v/>
      </c>
      <c r="G124" s="18" t="str">
        <f>IF($AA124=0,"",INDEX('13 - DATA &amp; LISTS'!$AE$30:$AE$436,$AA124))</f>
        <v/>
      </c>
      <c r="H124" s="19" t="str">
        <f>IF($AA124=0,"",INDEX('13 - DATA &amp; LISTS'!$AF$30:$AF$436,$AA124))</f>
        <v/>
      </c>
      <c r="I124" s="18" t="str">
        <f>IF($AA124=0,"",INDEX('13 - DATA &amp; LISTS'!$AG$30:$AG$436,$AA124))</f>
        <v/>
      </c>
      <c r="J124" s="18" t="str">
        <f>IF($AA124=0,"",INDEX('13 - DATA &amp; LISTS'!$AH$30:$AH$436,$AA124))</f>
        <v/>
      </c>
      <c r="K124" s="18" t="str">
        <f>IF($AA124=0,"",INDEX('13 - DATA &amp; LISTS'!$AI$30:$AI$436,$AA124))</f>
        <v/>
      </c>
      <c r="AA124">
        <f>IF(COUNTIF('13 - DATA &amp; LISTS'!$AK$30:$AK$436,"&lt;999999999999")&lt;116,0,MATCH(SMALL('13 - DATA &amp; LISTS'!$AK$30:$AK$436,116),'13 - DATA &amp; LISTS'!$AK$30:$AK$436,0))</f>
        <v>0</v>
      </c>
    </row>
    <row r="125" spans="1:27" ht="63.95" customHeight="1">
      <c r="A125" s="18" t="str">
        <f>IF($AA125=0,"",INDEX('13 - DATA &amp; LISTS'!$Y$30:$Y$436,$AA125))</f>
        <v/>
      </c>
      <c r="B125" s="18" t="str">
        <f>IF($AA125=0,"",INDEX('13 - DATA &amp; LISTS'!$Z$30:$Z$436,$AA125))</f>
        <v/>
      </c>
      <c r="C125" s="18" t="str">
        <f>IF($AA125=0,"",INDEX('13 - DATA &amp; LISTS'!$AA$30:$AA$436,$AA125))</f>
        <v/>
      </c>
      <c r="D125" s="18" t="str">
        <f>IF($AA125=0,"",INDEX('13 - DATA &amp; LISTS'!$AB$30:$AB$436,$AA125))</f>
        <v/>
      </c>
      <c r="E125" s="18" t="str">
        <f>IF($AA125=0,"",INDEX('13 - DATA &amp; LISTS'!$AC$30:$AC$436,$AA125))</f>
        <v/>
      </c>
      <c r="F125" s="18" t="str">
        <f>IF($AA125=0,"",INDEX('13 - DATA &amp; LISTS'!$AD$30:$AD$436,$AA125))</f>
        <v/>
      </c>
      <c r="G125" s="18" t="str">
        <f>IF($AA125=0,"",INDEX('13 - DATA &amp; LISTS'!$AE$30:$AE$436,$AA125))</f>
        <v/>
      </c>
      <c r="H125" s="19" t="str">
        <f>IF($AA125=0,"",INDEX('13 - DATA &amp; LISTS'!$AF$30:$AF$436,$AA125))</f>
        <v/>
      </c>
      <c r="I125" s="18" t="str">
        <f>IF($AA125=0,"",INDEX('13 - DATA &amp; LISTS'!$AG$30:$AG$436,$AA125))</f>
        <v/>
      </c>
      <c r="J125" s="18" t="str">
        <f>IF($AA125=0,"",INDEX('13 - DATA &amp; LISTS'!$AH$30:$AH$436,$AA125))</f>
        <v/>
      </c>
      <c r="K125" s="18" t="str">
        <f>IF($AA125=0,"",INDEX('13 - DATA &amp; LISTS'!$AI$30:$AI$436,$AA125))</f>
        <v/>
      </c>
      <c r="AA125">
        <f>IF(COUNTIF('13 - DATA &amp; LISTS'!$AK$30:$AK$436,"&lt;999999999999")&lt;117,0,MATCH(SMALL('13 - DATA &amp; LISTS'!$AK$30:$AK$436,117),'13 - DATA &amp; LISTS'!$AK$30:$AK$436,0))</f>
        <v>0</v>
      </c>
    </row>
    <row r="126" spans="1:27" ht="63.95" customHeight="1">
      <c r="A126" s="18" t="str">
        <f>IF($AA126=0,"",INDEX('13 - DATA &amp; LISTS'!$Y$30:$Y$436,$AA126))</f>
        <v/>
      </c>
      <c r="B126" s="18" t="str">
        <f>IF($AA126=0,"",INDEX('13 - DATA &amp; LISTS'!$Z$30:$Z$436,$AA126))</f>
        <v/>
      </c>
      <c r="C126" s="18" t="str">
        <f>IF($AA126=0,"",INDEX('13 - DATA &amp; LISTS'!$AA$30:$AA$436,$AA126))</f>
        <v/>
      </c>
      <c r="D126" s="18" t="str">
        <f>IF($AA126=0,"",INDEX('13 - DATA &amp; LISTS'!$AB$30:$AB$436,$AA126))</f>
        <v/>
      </c>
      <c r="E126" s="18" t="str">
        <f>IF($AA126=0,"",INDEX('13 - DATA &amp; LISTS'!$AC$30:$AC$436,$AA126))</f>
        <v/>
      </c>
      <c r="F126" s="18" t="str">
        <f>IF($AA126=0,"",INDEX('13 - DATA &amp; LISTS'!$AD$30:$AD$436,$AA126))</f>
        <v/>
      </c>
      <c r="G126" s="18" t="str">
        <f>IF($AA126=0,"",INDEX('13 - DATA &amp; LISTS'!$AE$30:$AE$436,$AA126))</f>
        <v/>
      </c>
      <c r="H126" s="19" t="str">
        <f>IF($AA126=0,"",INDEX('13 - DATA &amp; LISTS'!$AF$30:$AF$436,$AA126))</f>
        <v/>
      </c>
      <c r="I126" s="18" t="str">
        <f>IF($AA126=0,"",INDEX('13 - DATA &amp; LISTS'!$AG$30:$AG$436,$AA126))</f>
        <v/>
      </c>
      <c r="J126" s="18" t="str">
        <f>IF($AA126=0,"",INDEX('13 - DATA &amp; LISTS'!$AH$30:$AH$436,$AA126))</f>
        <v/>
      </c>
      <c r="K126" s="18" t="str">
        <f>IF($AA126=0,"",INDEX('13 - DATA &amp; LISTS'!$AI$30:$AI$436,$AA126))</f>
        <v/>
      </c>
      <c r="AA126">
        <f>IF(COUNTIF('13 - DATA &amp; LISTS'!$AK$30:$AK$436,"&lt;999999999999")&lt;118,0,MATCH(SMALL('13 - DATA &amp; LISTS'!$AK$30:$AK$436,118),'13 - DATA &amp; LISTS'!$AK$30:$AK$436,0))</f>
        <v>0</v>
      </c>
    </row>
    <row r="127" spans="1:27" ht="63.95" customHeight="1">
      <c r="A127" s="18" t="str">
        <f>IF($AA127=0,"",INDEX('13 - DATA &amp; LISTS'!$Y$30:$Y$436,$AA127))</f>
        <v/>
      </c>
      <c r="B127" s="18" t="str">
        <f>IF($AA127=0,"",INDEX('13 - DATA &amp; LISTS'!$Z$30:$Z$436,$AA127))</f>
        <v/>
      </c>
      <c r="C127" s="18" t="str">
        <f>IF($AA127=0,"",INDEX('13 - DATA &amp; LISTS'!$AA$30:$AA$436,$AA127))</f>
        <v/>
      </c>
      <c r="D127" s="18" t="str">
        <f>IF($AA127=0,"",INDEX('13 - DATA &amp; LISTS'!$AB$30:$AB$436,$AA127))</f>
        <v/>
      </c>
      <c r="E127" s="18" t="str">
        <f>IF($AA127=0,"",INDEX('13 - DATA &amp; LISTS'!$AC$30:$AC$436,$AA127))</f>
        <v/>
      </c>
      <c r="F127" s="18" t="str">
        <f>IF($AA127=0,"",INDEX('13 - DATA &amp; LISTS'!$AD$30:$AD$436,$AA127))</f>
        <v/>
      </c>
      <c r="G127" s="18" t="str">
        <f>IF($AA127=0,"",INDEX('13 - DATA &amp; LISTS'!$AE$30:$AE$436,$AA127))</f>
        <v/>
      </c>
      <c r="H127" s="19" t="str">
        <f>IF($AA127=0,"",INDEX('13 - DATA &amp; LISTS'!$AF$30:$AF$436,$AA127))</f>
        <v/>
      </c>
      <c r="I127" s="18" t="str">
        <f>IF($AA127=0,"",INDEX('13 - DATA &amp; LISTS'!$AG$30:$AG$436,$AA127))</f>
        <v/>
      </c>
      <c r="J127" s="18" t="str">
        <f>IF($AA127=0,"",INDEX('13 - DATA &amp; LISTS'!$AH$30:$AH$436,$AA127))</f>
        <v/>
      </c>
      <c r="K127" s="18" t="str">
        <f>IF($AA127=0,"",INDEX('13 - DATA &amp; LISTS'!$AI$30:$AI$436,$AA127))</f>
        <v/>
      </c>
      <c r="AA127">
        <f>IF(COUNTIF('13 - DATA &amp; LISTS'!$AK$30:$AK$436,"&lt;999999999999")&lt;119,0,MATCH(SMALL('13 - DATA &amp; LISTS'!$AK$30:$AK$436,119),'13 - DATA &amp; LISTS'!$AK$30:$AK$436,0))</f>
        <v>0</v>
      </c>
    </row>
    <row r="128" spans="1:27" ht="63.95" customHeight="1">
      <c r="A128" s="18" t="str">
        <f>IF($AA128=0,"",INDEX('13 - DATA &amp; LISTS'!$Y$30:$Y$436,$AA128))</f>
        <v/>
      </c>
      <c r="B128" s="18" t="str">
        <f>IF($AA128=0,"",INDEX('13 - DATA &amp; LISTS'!$Z$30:$Z$436,$AA128))</f>
        <v/>
      </c>
      <c r="C128" s="18" t="str">
        <f>IF($AA128=0,"",INDEX('13 - DATA &amp; LISTS'!$AA$30:$AA$436,$AA128))</f>
        <v/>
      </c>
      <c r="D128" s="18" t="str">
        <f>IF($AA128=0,"",INDEX('13 - DATA &amp; LISTS'!$AB$30:$AB$436,$AA128))</f>
        <v/>
      </c>
      <c r="E128" s="18" t="str">
        <f>IF($AA128=0,"",INDEX('13 - DATA &amp; LISTS'!$AC$30:$AC$436,$AA128))</f>
        <v/>
      </c>
      <c r="F128" s="18" t="str">
        <f>IF($AA128=0,"",INDEX('13 - DATA &amp; LISTS'!$AD$30:$AD$436,$AA128))</f>
        <v/>
      </c>
      <c r="G128" s="18" t="str">
        <f>IF($AA128=0,"",INDEX('13 - DATA &amp; LISTS'!$AE$30:$AE$436,$AA128))</f>
        <v/>
      </c>
      <c r="H128" s="19" t="str">
        <f>IF($AA128=0,"",INDEX('13 - DATA &amp; LISTS'!$AF$30:$AF$436,$AA128))</f>
        <v/>
      </c>
      <c r="I128" s="18" t="str">
        <f>IF($AA128=0,"",INDEX('13 - DATA &amp; LISTS'!$AG$30:$AG$436,$AA128))</f>
        <v/>
      </c>
      <c r="J128" s="18" t="str">
        <f>IF($AA128=0,"",INDEX('13 - DATA &amp; LISTS'!$AH$30:$AH$436,$AA128))</f>
        <v/>
      </c>
      <c r="K128" s="18" t="str">
        <f>IF($AA128=0,"",INDEX('13 - DATA &amp; LISTS'!$AI$30:$AI$436,$AA128))</f>
        <v/>
      </c>
      <c r="AA128">
        <f>IF(COUNTIF('13 - DATA &amp; LISTS'!$AK$30:$AK$436,"&lt;999999999999")&lt;120,0,MATCH(SMALL('13 - DATA &amp; LISTS'!$AK$30:$AK$436,120),'13 - DATA &amp; LISTS'!$AK$30:$AK$436,0))</f>
        <v>0</v>
      </c>
    </row>
    <row r="129" spans="1:27" ht="63.95" customHeight="1">
      <c r="A129" s="18" t="str">
        <f>IF($AA129=0,"",INDEX('13 - DATA &amp; LISTS'!$Y$30:$Y$436,$AA129))</f>
        <v/>
      </c>
      <c r="B129" s="18" t="str">
        <f>IF($AA129=0,"",INDEX('13 - DATA &amp; LISTS'!$Z$30:$Z$436,$AA129))</f>
        <v/>
      </c>
      <c r="C129" s="18" t="str">
        <f>IF($AA129=0,"",INDEX('13 - DATA &amp; LISTS'!$AA$30:$AA$436,$AA129))</f>
        <v/>
      </c>
      <c r="D129" s="18" t="str">
        <f>IF($AA129=0,"",INDEX('13 - DATA &amp; LISTS'!$AB$30:$AB$436,$AA129))</f>
        <v/>
      </c>
      <c r="E129" s="18" t="str">
        <f>IF($AA129=0,"",INDEX('13 - DATA &amp; LISTS'!$AC$30:$AC$436,$AA129))</f>
        <v/>
      </c>
      <c r="F129" s="18" t="str">
        <f>IF($AA129=0,"",INDEX('13 - DATA &amp; LISTS'!$AD$30:$AD$436,$AA129))</f>
        <v/>
      </c>
      <c r="G129" s="18" t="str">
        <f>IF($AA129=0,"",INDEX('13 - DATA &amp; LISTS'!$AE$30:$AE$436,$AA129))</f>
        <v/>
      </c>
      <c r="H129" s="19" t="str">
        <f>IF($AA129=0,"",INDEX('13 - DATA &amp; LISTS'!$AF$30:$AF$436,$AA129))</f>
        <v/>
      </c>
      <c r="I129" s="18" t="str">
        <f>IF($AA129=0,"",INDEX('13 - DATA &amp; LISTS'!$AG$30:$AG$436,$AA129))</f>
        <v/>
      </c>
      <c r="J129" s="18" t="str">
        <f>IF($AA129=0,"",INDEX('13 - DATA &amp; LISTS'!$AH$30:$AH$436,$AA129))</f>
        <v/>
      </c>
      <c r="K129" s="18" t="str">
        <f>IF($AA129=0,"",INDEX('13 - DATA &amp; LISTS'!$AI$30:$AI$436,$AA129))</f>
        <v/>
      </c>
      <c r="AA129">
        <f>IF(COUNTIF('13 - DATA &amp; LISTS'!$AK$30:$AK$436,"&lt;999999999999")&lt;121,0,MATCH(SMALL('13 - DATA &amp; LISTS'!$AK$30:$AK$436,121),'13 - DATA &amp; LISTS'!$AK$30:$AK$436,0))</f>
        <v>0</v>
      </c>
    </row>
    <row r="130" spans="1:27" ht="63.95" customHeight="1">
      <c r="A130" s="18" t="str">
        <f>IF($AA130=0,"",INDEX('13 - DATA &amp; LISTS'!$Y$30:$Y$436,$AA130))</f>
        <v/>
      </c>
      <c r="B130" s="18" t="str">
        <f>IF($AA130=0,"",INDEX('13 - DATA &amp; LISTS'!$Z$30:$Z$436,$AA130))</f>
        <v/>
      </c>
      <c r="C130" s="18" t="str">
        <f>IF($AA130=0,"",INDEX('13 - DATA &amp; LISTS'!$AA$30:$AA$436,$AA130))</f>
        <v/>
      </c>
      <c r="D130" s="18" t="str">
        <f>IF($AA130=0,"",INDEX('13 - DATA &amp; LISTS'!$AB$30:$AB$436,$AA130))</f>
        <v/>
      </c>
      <c r="E130" s="18" t="str">
        <f>IF($AA130=0,"",INDEX('13 - DATA &amp; LISTS'!$AC$30:$AC$436,$AA130))</f>
        <v/>
      </c>
      <c r="F130" s="18" t="str">
        <f>IF($AA130=0,"",INDEX('13 - DATA &amp; LISTS'!$AD$30:$AD$436,$AA130))</f>
        <v/>
      </c>
      <c r="G130" s="18" t="str">
        <f>IF($AA130=0,"",INDEX('13 - DATA &amp; LISTS'!$AE$30:$AE$436,$AA130))</f>
        <v/>
      </c>
      <c r="H130" s="19" t="str">
        <f>IF($AA130=0,"",INDEX('13 - DATA &amp; LISTS'!$AF$30:$AF$436,$AA130))</f>
        <v/>
      </c>
      <c r="I130" s="18" t="str">
        <f>IF($AA130=0,"",INDEX('13 - DATA &amp; LISTS'!$AG$30:$AG$436,$AA130))</f>
        <v/>
      </c>
      <c r="J130" s="18" t="str">
        <f>IF($AA130=0,"",INDEX('13 - DATA &amp; LISTS'!$AH$30:$AH$436,$AA130))</f>
        <v/>
      </c>
      <c r="K130" s="18" t="str">
        <f>IF($AA130=0,"",INDEX('13 - DATA &amp; LISTS'!$AI$30:$AI$436,$AA130))</f>
        <v/>
      </c>
      <c r="AA130">
        <f>IF(COUNTIF('13 - DATA &amp; LISTS'!$AK$30:$AK$436,"&lt;999999999999")&lt;122,0,MATCH(SMALL('13 - DATA &amp; LISTS'!$AK$30:$AK$436,122),'13 - DATA &amp; LISTS'!$AK$30:$AK$436,0))</f>
        <v>0</v>
      </c>
    </row>
    <row r="131" spans="1:27" ht="63.95" customHeight="1">
      <c r="A131" s="18" t="str">
        <f>IF($AA131=0,"",INDEX('13 - DATA &amp; LISTS'!$Y$30:$Y$436,$AA131))</f>
        <v/>
      </c>
      <c r="B131" s="18" t="str">
        <f>IF($AA131=0,"",INDEX('13 - DATA &amp; LISTS'!$Z$30:$Z$436,$AA131))</f>
        <v/>
      </c>
      <c r="C131" s="18" t="str">
        <f>IF($AA131=0,"",INDEX('13 - DATA &amp; LISTS'!$AA$30:$AA$436,$AA131))</f>
        <v/>
      </c>
      <c r="D131" s="18" t="str">
        <f>IF($AA131=0,"",INDEX('13 - DATA &amp; LISTS'!$AB$30:$AB$436,$AA131))</f>
        <v/>
      </c>
      <c r="E131" s="18" t="str">
        <f>IF($AA131=0,"",INDEX('13 - DATA &amp; LISTS'!$AC$30:$AC$436,$AA131))</f>
        <v/>
      </c>
      <c r="F131" s="18" t="str">
        <f>IF($AA131=0,"",INDEX('13 - DATA &amp; LISTS'!$AD$30:$AD$436,$AA131))</f>
        <v/>
      </c>
      <c r="G131" s="18" t="str">
        <f>IF($AA131=0,"",INDEX('13 - DATA &amp; LISTS'!$AE$30:$AE$436,$AA131))</f>
        <v/>
      </c>
      <c r="H131" s="19" t="str">
        <f>IF($AA131=0,"",INDEX('13 - DATA &amp; LISTS'!$AF$30:$AF$436,$AA131))</f>
        <v/>
      </c>
      <c r="I131" s="18" t="str">
        <f>IF($AA131=0,"",INDEX('13 - DATA &amp; LISTS'!$AG$30:$AG$436,$AA131))</f>
        <v/>
      </c>
      <c r="J131" s="18" t="str">
        <f>IF($AA131=0,"",INDEX('13 - DATA &amp; LISTS'!$AH$30:$AH$436,$AA131))</f>
        <v/>
      </c>
      <c r="K131" s="18" t="str">
        <f>IF($AA131=0,"",INDEX('13 - DATA &amp; LISTS'!$AI$30:$AI$436,$AA131))</f>
        <v/>
      </c>
      <c r="AA131">
        <f>IF(COUNTIF('13 - DATA &amp; LISTS'!$AK$30:$AK$436,"&lt;999999999999")&lt;123,0,MATCH(SMALL('13 - DATA &amp; LISTS'!$AK$30:$AK$436,123),'13 - DATA &amp; LISTS'!$AK$30:$AK$436,0))</f>
        <v>0</v>
      </c>
    </row>
    <row r="132" spans="1:27" ht="63.95" customHeight="1">
      <c r="A132" s="18" t="str">
        <f>IF($AA132=0,"",INDEX('13 - DATA &amp; LISTS'!$Y$30:$Y$436,$AA132))</f>
        <v/>
      </c>
      <c r="B132" s="18" t="str">
        <f>IF($AA132=0,"",INDEX('13 - DATA &amp; LISTS'!$Z$30:$Z$436,$AA132))</f>
        <v/>
      </c>
      <c r="C132" s="18" t="str">
        <f>IF($AA132=0,"",INDEX('13 - DATA &amp; LISTS'!$AA$30:$AA$436,$AA132))</f>
        <v/>
      </c>
      <c r="D132" s="18" t="str">
        <f>IF($AA132=0,"",INDEX('13 - DATA &amp; LISTS'!$AB$30:$AB$436,$AA132))</f>
        <v/>
      </c>
      <c r="E132" s="18" t="str">
        <f>IF($AA132=0,"",INDEX('13 - DATA &amp; LISTS'!$AC$30:$AC$436,$AA132))</f>
        <v/>
      </c>
      <c r="F132" s="18" t="str">
        <f>IF($AA132=0,"",INDEX('13 - DATA &amp; LISTS'!$AD$30:$AD$436,$AA132))</f>
        <v/>
      </c>
      <c r="G132" s="18" t="str">
        <f>IF($AA132=0,"",INDEX('13 - DATA &amp; LISTS'!$AE$30:$AE$436,$AA132))</f>
        <v/>
      </c>
      <c r="H132" s="19" t="str">
        <f>IF($AA132=0,"",INDEX('13 - DATA &amp; LISTS'!$AF$30:$AF$436,$AA132))</f>
        <v/>
      </c>
      <c r="I132" s="18" t="str">
        <f>IF($AA132=0,"",INDEX('13 - DATA &amp; LISTS'!$AG$30:$AG$436,$AA132))</f>
        <v/>
      </c>
      <c r="J132" s="18" t="str">
        <f>IF($AA132=0,"",INDEX('13 - DATA &amp; LISTS'!$AH$30:$AH$436,$AA132))</f>
        <v/>
      </c>
      <c r="K132" s="18" t="str">
        <f>IF($AA132=0,"",INDEX('13 - DATA &amp; LISTS'!$AI$30:$AI$436,$AA132))</f>
        <v/>
      </c>
      <c r="AA132">
        <f>IF(COUNTIF('13 - DATA &amp; LISTS'!$AK$30:$AK$436,"&lt;999999999999")&lt;124,0,MATCH(SMALL('13 - DATA &amp; LISTS'!$AK$30:$AK$436,124),'13 - DATA &amp; LISTS'!$AK$30:$AK$436,0))</f>
        <v>0</v>
      </c>
    </row>
    <row r="133" spans="1:27" ht="63.95" customHeight="1">
      <c r="A133" s="18" t="str">
        <f>IF($AA133=0,"",INDEX('13 - DATA &amp; LISTS'!$Y$30:$Y$436,$AA133))</f>
        <v/>
      </c>
      <c r="B133" s="18" t="str">
        <f>IF($AA133=0,"",INDEX('13 - DATA &amp; LISTS'!$Z$30:$Z$436,$AA133))</f>
        <v/>
      </c>
      <c r="C133" s="18" t="str">
        <f>IF($AA133=0,"",INDEX('13 - DATA &amp; LISTS'!$AA$30:$AA$436,$AA133))</f>
        <v/>
      </c>
      <c r="D133" s="18" t="str">
        <f>IF($AA133=0,"",INDEX('13 - DATA &amp; LISTS'!$AB$30:$AB$436,$AA133))</f>
        <v/>
      </c>
      <c r="E133" s="18" t="str">
        <f>IF($AA133=0,"",INDEX('13 - DATA &amp; LISTS'!$AC$30:$AC$436,$AA133))</f>
        <v/>
      </c>
      <c r="F133" s="18" t="str">
        <f>IF($AA133=0,"",INDEX('13 - DATA &amp; LISTS'!$AD$30:$AD$436,$AA133))</f>
        <v/>
      </c>
      <c r="G133" s="18" t="str">
        <f>IF($AA133=0,"",INDEX('13 - DATA &amp; LISTS'!$AE$30:$AE$436,$AA133))</f>
        <v/>
      </c>
      <c r="H133" s="19" t="str">
        <f>IF($AA133=0,"",INDEX('13 - DATA &amp; LISTS'!$AF$30:$AF$436,$AA133))</f>
        <v/>
      </c>
      <c r="I133" s="18" t="str">
        <f>IF($AA133=0,"",INDEX('13 - DATA &amp; LISTS'!$AG$30:$AG$436,$AA133))</f>
        <v/>
      </c>
      <c r="J133" s="18" t="str">
        <f>IF($AA133=0,"",INDEX('13 - DATA &amp; LISTS'!$AH$30:$AH$436,$AA133))</f>
        <v/>
      </c>
      <c r="K133" s="18" t="str">
        <f>IF($AA133=0,"",INDEX('13 - DATA &amp; LISTS'!$AI$30:$AI$436,$AA133))</f>
        <v/>
      </c>
      <c r="AA133">
        <f>IF(COUNTIF('13 - DATA &amp; LISTS'!$AK$30:$AK$436,"&lt;999999999999")&lt;125,0,MATCH(SMALL('13 - DATA &amp; LISTS'!$AK$30:$AK$436,125),'13 - DATA &amp; LISTS'!$AK$30:$AK$436,0))</f>
        <v>0</v>
      </c>
    </row>
    <row r="134" spans="1:27" ht="63.95" customHeight="1">
      <c r="A134" s="18" t="str">
        <f>IF($AA134=0,"",INDEX('13 - DATA &amp; LISTS'!$Y$30:$Y$436,$AA134))</f>
        <v/>
      </c>
      <c r="B134" s="18" t="str">
        <f>IF($AA134=0,"",INDEX('13 - DATA &amp; LISTS'!$Z$30:$Z$436,$AA134))</f>
        <v/>
      </c>
      <c r="C134" s="18" t="str">
        <f>IF($AA134=0,"",INDEX('13 - DATA &amp; LISTS'!$AA$30:$AA$436,$AA134))</f>
        <v/>
      </c>
      <c r="D134" s="18" t="str">
        <f>IF($AA134=0,"",INDEX('13 - DATA &amp; LISTS'!$AB$30:$AB$436,$AA134))</f>
        <v/>
      </c>
      <c r="E134" s="18" t="str">
        <f>IF($AA134=0,"",INDEX('13 - DATA &amp; LISTS'!$AC$30:$AC$436,$AA134))</f>
        <v/>
      </c>
      <c r="F134" s="18" t="str">
        <f>IF($AA134=0,"",INDEX('13 - DATA &amp; LISTS'!$AD$30:$AD$436,$AA134))</f>
        <v/>
      </c>
      <c r="G134" s="18" t="str">
        <f>IF($AA134=0,"",INDEX('13 - DATA &amp; LISTS'!$AE$30:$AE$436,$AA134))</f>
        <v/>
      </c>
      <c r="H134" s="19" t="str">
        <f>IF($AA134=0,"",INDEX('13 - DATA &amp; LISTS'!$AF$30:$AF$436,$AA134))</f>
        <v/>
      </c>
      <c r="I134" s="18" t="str">
        <f>IF($AA134=0,"",INDEX('13 - DATA &amp; LISTS'!$AG$30:$AG$436,$AA134))</f>
        <v/>
      </c>
      <c r="J134" s="18" t="str">
        <f>IF($AA134=0,"",INDEX('13 - DATA &amp; LISTS'!$AH$30:$AH$436,$AA134))</f>
        <v/>
      </c>
      <c r="K134" s="18" t="str">
        <f>IF($AA134=0,"",INDEX('13 - DATA &amp; LISTS'!$AI$30:$AI$436,$AA134))</f>
        <v/>
      </c>
      <c r="AA134">
        <f>IF(COUNTIF('13 - DATA &amp; LISTS'!$AK$30:$AK$436,"&lt;999999999999")&lt;126,0,MATCH(SMALL('13 - DATA &amp; LISTS'!$AK$30:$AK$436,126),'13 - DATA &amp; LISTS'!$AK$30:$AK$436,0))</f>
        <v>0</v>
      </c>
    </row>
    <row r="135" spans="1:27" ht="63.95" customHeight="1">
      <c r="A135" s="18" t="str">
        <f>IF($AA135=0,"",INDEX('13 - DATA &amp; LISTS'!$Y$30:$Y$436,$AA135))</f>
        <v/>
      </c>
      <c r="B135" s="18" t="str">
        <f>IF($AA135=0,"",INDEX('13 - DATA &amp; LISTS'!$Z$30:$Z$436,$AA135))</f>
        <v/>
      </c>
      <c r="C135" s="18" t="str">
        <f>IF($AA135=0,"",INDEX('13 - DATA &amp; LISTS'!$AA$30:$AA$436,$AA135))</f>
        <v/>
      </c>
      <c r="D135" s="18" t="str">
        <f>IF($AA135=0,"",INDEX('13 - DATA &amp; LISTS'!$AB$30:$AB$436,$AA135))</f>
        <v/>
      </c>
      <c r="E135" s="18" t="str">
        <f>IF($AA135=0,"",INDEX('13 - DATA &amp; LISTS'!$AC$30:$AC$436,$AA135))</f>
        <v/>
      </c>
      <c r="F135" s="18" t="str">
        <f>IF($AA135=0,"",INDEX('13 - DATA &amp; LISTS'!$AD$30:$AD$436,$AA135))</f>
        <v/>
      </c>
      <c r="G135" s="18" t="str">
        <f>IF($AA135=0,"",INDEX('13 - DATA &amp; LISTS'!$AE$30:$AE$436,$AA135))</f>
        <v/>
      </c>
      <c r="H135" s="19" t="str">
        <f>IF($AA135=0,"",INDEX('13 - DATA &amp; LISTS'!$AF$30:$AF$436,$AA135))</f>
        <v/>
      </c>
      <c r="I135" s="18" t="str">
        <f>IF($AA135=0,"",INDEX('13 - DATA &amp; LISTS'!$AG$30:$AG$436,$AA135))</f>
        <v/>
      </c>
      <c r="J135" s="18" t="str">
        <f>IF($AA135=0,"",INDEX('13 - DATA &amp; LISTS'!$AH$30:$AH$436,$AA135))</f>
        <v/>
      </c>
      <c r="K135" s="18" t="str">
        <f>IF($AA135=0,"",INDEX('13 - DATA &amp; LISTS'!$AI$30:$AI$436,$AA135))</f>
        <v/>
      </c>
      <c r="AA135">
        <f>IF(COUNTIF('13 - DATA &amp; LISTS'!$AK$30:$AK$436,"&lt;999999999999")&lt;127,0,MATCH(SMALL('13 - DATA &amp; LISTS'!$AK$30:$AK$436,127),'13 - DATA &amp; LISTS'!$AK$30:$AK$436,0))</f>
        <v>0</v>
      </c>
    </row>
    <row r="136" spans="1:27" ht="63.95" customHeight="1">
      <c r="A136" s="18" t="str">
        <f>IF($AA136=0,"",INDEX('13 - DATA &amp; LISTS'!$Y$30:$Y$436,$AA136))</f>
        <v/>
      </c>
      <c r="B136" s="18" t="str">
        <f>IF($AA136=0,"",INDEX('13 - DATA &amp; LISTS'!$Z$30:$Z$436,$AA136))</f>
        <v/>
      </c>
      <c r="C136" s="18" t="str">
        <f>IF($AA136=0,"",INDEX('13 - DATA &amp; LISTS'!$AA$30:$AA$436,$AA136))</f>
        <v/>
      </c>
      <c r="D136" s="18" t="str">
        <f>IF($AA136=0,"",INDEX('13 - DATA &amp; LISTS'!$AB$30:$AB$436,$AA136))</f>
        <v/>
      </c>
      <c r="E136" s="18" t="str">
        <f>IF($AA136=0,"",INDEX('13 - DATA &amp; LISTS'!$AC$30:$AC$436,$AA136))</f>
        <v/>
      </c>
      <c r="F136" s="18" t="str">
        <f>IF($AA136=0,"",INDEX('13 - DATA &amp; LISTS'!$AD$30:$AD$436,$AA136))</f>
        <v/>
      </c>
      <c r="G136" s="18" t="str">
        <f>IF($AA136=0,"",INDEX('13 - DATA &amp; LISTS'!$AE$30:$AE$436,$AA136))</f>
        <v/>
      </c>
      <c r="H136" s="19" t="str">
        <f>IF($AA136=0,"",INDEX('13 - DATA &amp; LISTS'!$AF$30:$AF$436,$AA136))</f>
        <v/>
      </c>
      <c r="I136" s="18" t="str">
        <f>IF($AA136=0,"",INDEX('13 - DATA &amp; LISTS'!$AG$30:$AG$436,$AA136))</f>
        <v/>
      </c>
      <c r="J136" s="18" t="str">
        <f>IF($AA136=0,"",INDEX('13 - DATA &amp; LISTS'!$AH$30:$AH$436,$AA136))</f>
        <v/>
      </c>
      <c r="K136" s="18" t="str">
        <f>IF($AA136=0,"",INDEX('13 - DATA &amp; LISTS'!$AI$30:$AI$436,$AA136))</f>
        <v/>
      </c>
      <c r="AA136">
        <f>IF(COUNTIF('13 - DATA &amp; LISTS'!$AK$30:$AK$436,"&lt;999999999999")&lt;128,0,MATCH(SMALL('13 - DATA &amp; LISTS'!$AK$30:$AK$436,128),'13 - DATA &amp; LISTS'!$AK$30:$AK$436,0))</f>
        <v>0</v>
      </c>
    </row>
    <row r="137" spans="1:27" ht="63.95" customHeight="1">
      <c r="A137" s="18" t="str">
        <f>IF($AA137=0,"",INDEX('13 - DATA &amp; LISTS'!$Y$30:$Y$436,$AA137))</f>
        <v/>
      </c>
      <c r="B137" s="18" t="str">
        <f>IF($AA137=0,"",INDEX('13 - DATA &amp; LISTS'!$Z$30:$Z$436,$AA137))</f>
        <v/>
      </c>
      <c r="C137" s="18" t="str">
        <f>IF($AA137=0,"",INDEX('13 - DATA &amp; LISTS'!$AA$30:$AA$436,$AA137))</f>
        <v/>
      </c>
      <c r="D137" s="18" t="str">
        <f>IF($AA137=0,"",INDEX('13 - DATA &amp; LISTS'!$AB$30:$AB$436,$AA137))</f>
        <v/>
      </c>
      <c r="E137" s="18" t="str">
        <f>IF($AA137=0,"",INDEX('13 - DATA &amp; LISTS'!$AC$30:$AC$436,$AA137))</f>
        <v/>
      </c>
      <c r="F137" s="18" t="str">
        <f>IF($AA137=0,"",INDEX('13 - DATA &amp; LISTS'!$AD$30:$AD$436,$AA137))</f>
        <v/>
      </c>
      <c r="G137" s="18" t="str">
        <f>IF($AA137=0,"",INDEX('13 - DATA &amp; LISTS'!$AE$30:$AE$436,$AA137))</f>
        <v/>
      </c>
      <c r="H137" s="19" t="str">
        <f>IF($AA137=0,"",INDEX('13 - DATA &amp; LISTS'!$AF$30:$AF$436,$AA137))</f>
        <v/>
      </c>
      <c r="I137" s="18" t="str">
        <f>IF($AA137=0,"",INDEX('13 - DATA &amp; LISTS'!$AG$30:$AG$436,$AA137))</f>
        <v/>
      </c>
      <c r="J137" s="18" t="str">
        <f>IF($AA137=0,"",INDEX('13 - DATA &amp; LISTS'!$AH$30:$AH$436,$AA137))</f>
        <v/>
      </c>
      <c r="K137" s="18" t="str">
        <f>IF($AA137=0,"",INDEX('13 - DATA &amp; LISTS'!$AI$30:$AI$436,$AA137))</f>
        <v/>
      </c>
      <c r="AA137">
        <f>IF(COUNTIF('13 - DATA &amp; LISTS'!$AK$30:$AK$436,"&lt;999999999999")&lt;129,0,MATCH(SMALL('13 - DATA &amp; LISTS'!$AK$30:$AK$436,129),'13 - DATA &amp; LISTS'!$AK$30:$AK$436,0))</f>
        <v>0</v>
      </c>
    </row>
    <row r="138" spans="1:27" ht="63.95" customHeight="1">
      <c r="A138" s="18" t="str">
        <f>IF($AA138=0,"",INDEX('13 - DATA &amp; LISTS'!$Y$30:$Y$436,$AA138))</f>
        <v/>
      </c>
      <c r="B138" s="18" t="str">
        <f>IF($AA138=0,"",INDEX('13 - DATA &amp; LISTS'!$Z$30:$Z$436,$AA138))</f>
        <v/>
      </c>
      <c r="C138" s="18" t="str">
        <f>IF($AA138=0,"",INDEX('13 - DATA &amp; LISTS'!$AA$30:$AA$436,$AA138))</f>
        <v/>
      </c>
      <c r="D138" s="18" t="str">
        <f>IF($AA138=0,"",INDEX('13 - DATA &amp; LISTS'!$AB$30:$AB$436,$AA138))</f>
        <v/>
      </c>
      <c r="E138" s="18" t="str">
        <f>IF($AA138=0,"",INDEX('13 - DATA &amp; LISTS'!$AC$30:$AC$436,$AA138))</f>
        <v/>
      </c>
      <c r="F138" s="18" t="str">
        <f>IF($AA138=0,"",INDEX('13 - DATA &amp; LISTS'!$AD$30:$AD$436,$AA138))</f>
        <v/>
      </c>
      <c r="G138" s="18" t="str">
        <f>IF($AA138=0,"",INDEX('13 - DATA &amp; LISTS'!$AE$30:$AE$436,$AA138))</f>
        <v/>
      </c>
      <c r="H138" s="19" t="str">
        <f>IF($AA138=0,"",INDEX('13 - DATA &amp; LISTS'!$AF$30:$AF$436,$AA138))</f>
        <v/>
      </c>
      <c r="I138" s="18" t="str">
        <f>IF($AA138=0,"",INDEX('13 - DATA &amp; LISTS'!$AG$30:$AG$436,$AA138))</f>
        <v/>
      </c>
      <c r="J138" s="18" t="str">
        <f>IF($AA138=0,"",INDEX('13 - DATA &amp; LISTS'!$AH$30:$AH$436,$AA138))</f>
        <v/>
      </c>
      <c r="K138" s="18" t="str">
        <f>IF($AA138=0,"",INDEX('13 - DATA &amp; LISTS'!$AI$30:$AI$436,$AA138))</f>
        <v/>
      </c>
      <c r="AA138">
        <f>IF(COUNTIF('13 - DATA &amp; LISTS'!$AK$30:$AK$436,"&lt;999999999999")&lt;130,0,MATCH(SMALL('13 - DATA &amp; LISTS'!$AK$30:$AK$436,130),'13 - DATA &amp; LISTS'!$AK$30:$AK$436,0))</f>
        <v>0</v>
      </c>
    </row>
    <row r="139" spans="1:27" ht="63.95" customHeight="1">
      <c r="A139" s="18" t="str">
        <f>IF($AA139=0,"",INDEX('13 - DATA &amp; LISTS'!$Y$30:$Y$436,$AA139))</f>
        <v/>
      </c>
      <c r="B139" s="18" t="str">
        <f>IF($AA139=0,"",INDEX('13 - DATA &amp; LISTS'!$Z$30:$Z$436,$AA139))</f>
        <v/>
      </c>
      <c r="C139" s="18" t="str">
        <f>IF($AA139=0,"",INDEX('13 - DATA &amp; LISTS'!$AA$30:$AA$436,$AA139))</f>
        <v/>
      </c>
      <c r="D139" s="18" t="str">
        <f>IF($AA139=0,"",INDEX('13 - DATA &amp; LISTS'!$AB$30:$AB$436,$AA139))</f>
        <v/>
      </c>
      <c r="E139" s="18" t="str">
        <f>IF($AA139=0,"",INDEX('13 - DATA &amp; LISTS'!$AC$30:$AC$436,$AA139))</f>
        <v/>
      </c>
      <c r="F139" s="18" t="str">
        <f>IF($AA139=0,"",INDEX('13 - DATA &amp; LISTS'!$AD$30:$AD$436,$AA139))</f>
        <v/>
      </c>
      <c r="G139" s="18" t="str">
        <f>IF($AA139=0,"",INDEX('13 - DATA &amp; LISTS'!$AE$30:$AE$436,$AA139))</f>
        <v/>
      </c>
      <c r="H139" s="19" t="str">
        <f>IF($AA139=0,"",INDEX('13 - DATA &amp; LISTS'!$AF$30:$AF$436,$AA139))</f>
        <v/>
      </c>
      <c r="I139" s="18" t="str">
        <f>IF($AA139=0,"",INDEX('13 - DATA &amp; LISTS'!$AG$30:$AG$436,$AA139))</f>
        <v/>
      </c>
      <c r="J139" s="18" t="str">
        <f>IF($AA139=0,"",INDEX('13 - DATA &amp; LISTS'!$AH$30:$AH$436,$AA139))</f>
        <v/>
      </c>
      <c r="K139" s="18" t="str">
        <f>IF($AA139=0,"",INDEX('13 - DATA &amp; LISTS'!$AI$30:$AI$436,$AA139))</f>
        <v/>
      </c>
      <c r="AA139">
        <f>IF(COUNTIF('13 - DATA &amp; LISTS'!$AK$30:$AK$436,"&lt;999999999999")&lt;131,0,MATCH(SMALL('13 - DATA &amp; LISTS'!$AK$30:$AK$436,131),'13 - DATA &amp; LISTS'!$AK$30:$AK$436,0))</f>
        <v>0</v>
      </c>
    </row>
    <row r="140" spans="1:27" ht="63.95" customHeight="1">
      <c r="A140" s="18" t="str">
        <f>IF($AA140=0,"",INDEX('13 - DATA &amp; LISTS'!$Y$30:$Y$436,$AA140))</f>
        <v/>
      </c>
      <c r="B140" s="18" t="str">
        <f>IF($AA140=0,"",INDEX('13 - DATA &amp; LISTS'!$Z$30:$Z$436,$AA140))</f>
        <v/>
      </c>
      <c r="C140" s="18" t="str">
        <f>IF($AA140=0,"",INDEX('13 - DATA &amp; LISTS'!$AA$30:$AA$436,$AA140))</f>
        <v/>
      </c>
      <c r="D140" s="18" t="str">
        <f>IF($AA140=0,"",INDEX('13 - DATA &amp; LISTS'!$AB$30:$AB$436,$AA140))</f>
        <v/>
      </c>
      <c r="E140" s="18" t="str">
        <f>IF($AA140=0,"",INDEX('13 - DATA &amp; LISTS'!$AC$30:$AC$436,$AA140))</f>
        <v/>
      </c>
      <c r="F140" s="18" t="str">
        <f>IF($AA140=0,"",INDEX('13 - DATA &amp; LISTS'!$AD$30:$AD$436,$AA140))</f>
        <v/>
      </c>
      <c r="G140" s="18" t="str">
        <f>IF($AA140=0,"",INDEX('13 - DATA &amp; LISTS'!$AE$30:$AE$436,$AA140))</f>
        <v/>
      </c>
      <c r="H140" s="19" t="str">
        <f>IF($AA140=0,"",INDEX('13 - DATA &amp; LISTS'!$AF$30:$AF$436,$AA140))</f>
        <v/>
      </c>
      <c r="I140" s="18" t="str">
        <f>IF($AA140=0,"",INDEX('13 - DATA &amp; LISTS'!$AG$30:$AG$436,$AA140))</f>
        <v/>
      </c>
      <c r="J140" s="18" t="str">
        <f>IF($AA140=0,"",INDEX('13 - DATA &amp; LISTS'!$AH$30:$AH$436,$AA140))</f>
        <v/>
      </c>
      <c r="K140" s="18" t="str">
        <f>IF($AA140=0,"",INDEX('13 - DATA &amp; LISTS'!$AI$30:$AI$436,$AA140))</f>
        <v/>
      </c>
      <c r="AA140">
        <f>IF(COUNTIF('13 - DATA &amp; LISTS'!$AK$30:$AK$436,"&lt;999999999999")&lt;132,0,MATCH(SMALL('13 - DATA &amp; LISTS'!$AK$30:$AK$436,132),'13 - DATA &amp; LISTS'!$AK$30:$AK$436,0))</f>
        <v>0</v>
      </c>
    </row>
    <row r="141" spans="1:27" ht="63.95" customHeight="1">
      <c r="A141" s="18" t="str">
        <f>IF($AA141=0,"",INDEX('13 - DATA &amp; LISTS'!$Y$30:$Y$436,$AA141))</f>
        <v/>
      </c>
      <c r="B141" s="18" t="str">
        <f>IF($AA141=0,"",INDEX('13 - DATA &amp; LISTS'!$Z$30:$Z$436,$AA141))</f>
        <v/>
      </c>
      <c r="C141" s="18" t="str">
        <f>IF($AA141=0,"",INDEX('13 - DATA &amp; LISTS'!$AA$30:$AA$436,$AA141))</f>
        <v/>
      </c>
      <c r="D141" s="18" t="str">
        <f>IF($AA141=0,"",INDEX('13 - DATA &amp; LISTS'!$AB$30:$AB$436,$AA141))</f>
        <v/>
      </c>
      <c r="E141" s="18" t="str">
        <f>IF($AA141=0,"",INDEX('13 - DATA &amp; LISTS'!$AC$30:$AC$436,$AA141))</f>
        <v/>
      </c>
      <c r="F141" s="18" t="str">
        <f>IF($AA141=0,"",INDEX('13 - DATA &amp; LISTS'!$AD$30:$AD$436,$AA141))</f>
        <v/>
      </c>
      <c r="G141" s="18" t="str">
        <f>IF($AA141=0,"",INDEX('13 - DATA &amp; LISTS'!$AE$30:$AE$436,$AA141))</f>
        <v/>
      </c>
      <c r="H141" s="19" t="str">
        <f>IF($AA141=0,"",INDEX('13 - DATA &amp; LISTS'!$AF$30:$AF$436,$AA141))</f>
        <v/>
      </c>
      <c r="I141" s="18" t="str">
        <f>IF($AA141=0,"",INDEX('13 - DATA &amp; LISTS'!$AG$30:$AG$436,$AA141))</f>
        <v/>
      </c>
      <c r="J141" s="18" t="str">
        <f>IF($AA141=0,"",INDEX('13 - DATA &amp; LISTS'!$AH$30:$AH$436,$AA141))</f>
        <v/>
      </c>
      <c r="K141" s="18" t="str">
        <f>IF($AA141=0,"",INDEX('13 - DATA &amp; LISTS'!$AI$30:$AI$436,$AA141))</f>
        <v/>
      </c>
      <c r="AA141">
        <f>IF(COUNTIF('13 - DATA &amp; LISTS'!$AK$30:$AK$436,"&lt;999999999999")&lt;133,0,MATCH(SMALL('13 - DATA &amp; LISTS'!$AK$30:$AK$436,133),'13 - DATA &amp; LISTS'!$AK$30:$AK$436,0))</f>
        <v>0</v>
      </c>
    </row>
    <row r="142" spans="1:27" ht="63.95" customHeight="1">
      <c r="A142" s="18" t="str">
        <f>IF($AA142=0,"",INDEX('13 - DATA &amp; LISTS'!$Y$30:$Y$436,$AA142))</f>
        <v/>
      </c>
      <c r="B142" s="18" t="str">
        <f>IF($AA142=0,"",INDEX('13 - DATA &amp; LISTS'!$Z$30:$Z$436,$AA142))</f>
        <v/>
      </c>
      <c r="C142" s="18" t="str">
        <f>IF($AA142=0,"",INDEX('13 - DATA &amp; LISTS'!$AA$30:$AA$436,$AA142))</f>
        <v/>
      </c>
      <c r="D142" s="18" t="str">
        <f>IF($AA142=0,"",INDEX('13 - DATA &amp; LISTS'!$AB$30:$AB$436,$AA142))</f>
        <v/>
      </c>
      <c r="E142" s="18" t="str">
        <f>IF($AA142=0,"",INDEX('13 - DATA &amp; LISTS'!$AC$30:$AC$436,$AA142))</f>
        <v/>
      </c>
      <c r="F142" s="18" t="str">
        <f>IF($AA142=0,"",INDEX('13 - DATA &amp; LISTS'!$AD$30:$AD$436,$AA142))</f>
        <v/>
      </c>
      <c r="G142" s="18" t="str">
        <f>IF($AA142=0,"",INDEX('13 - DATA &amp; LISTS'!$AE$30:$AE$436,$AA142))</f>
        <v/>
      </c>
      <c r="H142" s="19" t="str">
        <f>IF($AA142=0,"",INDEX('13 - DATA &amp; LISTS'!$AF$30:$AF$436,$AA142))</f>
        <v/>
      </c>
      <c r="I142" s="18" t="str">
        <f>IF($AA142=0,"",INDEX('13 - DATA &amp; LISTS'!$AG$30:$AG$436,$AA142))</f>
        <v/>
      </c>
      <c r="J142" s="18" t="str">
        <f>IF($AA142=0,"",INDEX('13 - DATA &amp; LISTS'!$AH$30:$AH$436,$AA142))</f>
        <v/>
      </c>
      <c r="K142" s="18" t="str">
        <f>IF($AA142=0,"",INDEX('13 - DATA &amp; LISTS'!$AI$30:$AI$436,$AA142))</f>
        <v/>
      </c>
      <c r="AA142">
        <f>IF(COUNTIF('13 - DATA &amp; LISTS'!$AK$30:$AK$436,"&lt;999999999999")&lt;134,0,MATCH(SMALL('13 - DATA &amp; LISTS'!$AK$30:$AK$436,134),'13 - DATA &amp; LISTS'!$AK$30:$AK$436,0))</f>
        <v>0</v>
      </c>
    </row>
    <row r="143" spans="1:27" ht="63.95" customHeight="1">
      <c r="A143" s="18" t="str">
        <f>IF($AA143=0,"",INDEX('13 - DATA &amp; LISTS'!$Y$30:$Y$436,$AA143))</f>
        <v/>
      </c>
      <c r="B143" s="18" t="str">
        <f>IF($AA143=0,"",INDEX('13 - DATA &amp; LISTS'!$Z$30:$Z$436,$AA143))</f>
        <v/>
      </c>
      <c r="C143" s="18" t="str">
        <f>IF($AA143=0,"",INDEX('13 - DATA &amp; LISTS'!$AA$30:$AA$436,$AA143))</f>
        <v/>
      </c>
      <c r="D143" s="18" t="str">
        <f>IF($AA143=0,"",INDEX('13 - DATA &amp; LISTS'!$AB$30:$AB$436,$AA143))</f>
        <v/>
      </c>
      <c r="E143" s="18" t="str">
        <f>IF($AA143=0,"",INDEX('13 - DATA &amp; LISTS'!$AC$30:$AC$436,$AA143))</f>
        <v/>
      </c>
      <c r="F143" s="18" t="str">
        <f>IF($AA143=0,"",INDEX('13 - DATA &amp; LISTS'!$AD$30:$AD$436,$AA143))</f>
        <v/>
      </c>
      <c r="G143" s="18" t="str">
        <f>IF($AA143=0,"",INDEX('13 - DATA &amp; LISTS'!$AE$30:$AE$436,$AA143))</f>
        <v/>
      </c>
      <c r="H143" s="19" t="str">
        <f>IF($AA143=0,"",INDEX('13 - DATA &amp; LISTS'!$AF$30:$AF$436,$AA143))</f>
        <v/>
      </c>
      <c r="I143" s="18" t="str">
        <f>IF($AA143=0,"",INDEX('13 - DATA &amp; LISTS'!$AG$30:$AG$436,$AA143))</f>
        <v/>
      </c>
      <c r="J143" s="18" t="str">
        <f>IF($AA143=0,"",INDEX('13 - DATA &amp; LISTS'!$AH$30:$AH$436,$AA143))</f>
        <v/>
      </c>
      <c r="K143" s="18" t="str">
        <f>IF($AA143=0,"",INDEX('13 - DATA &amp; LISTS'!$AI$30:$AI$436,$AA143))</f>
        <v/>
      </c>
      <c r="AA143">
        <f>IF(COUNTIF('13 - DATA &amp; LISTS'!$AK$30:$AK$436,"&lt;999999999999")&lt;135,0,MATCH(SMALL('13 - DATA &amp; LISTS'!$AK$30:$AK$436,135),'13 - DATA &amp; LISTS'!$AK$30:$AK$436,0))</f>
        <v>0</v>
      </c>
    </row>
    <row r="144" spans="1:27" ht="63.95" customHeight="1">
      <c r="A144" s="18" t="str">
        <f>IF($AA144=0,"",INDEX('13 - DATA &amp; LISTS'!$Y$30:$Y$436,$AA144))</f>
        <v/>
      </c>
      <c r="B144" s="18" t="str">
        <f>IF($AA144=0,"",INDEX('13 - DATA &amp; LISTS'!$Z$30:$Z$436,$AA144))</f>
        <v/>
      </c>
      <c r="C144" s="18" t="str">
        <f>IF($AA144=0,"",INDEX('13 - DATA &amp; LISTS'!$AA$30:$AA$436,$AA144))</f>
        <v/>
      </c>
      <c r="D144" s="18" t="str">
        <f>IF($AA144=0,"",INDEX('13 - DATA &amp; LISTS'!$AB$30:$AB$436,$AA144))</f>
        <v/>
      </c>
      <c r="E144" s="18" t="str">
        <f>IF($AA144=0,"",INDEX('13 - DATA &amp; LISTS'!$AC$30:$AC$436,$AA144))</f>
        <v/>
      </c>
      <c r="F144" s="18" t="str">
        <f>IF($AA144=0,"",INDEX('13 - DATA &amp; LISTS'!$AD$30:$AD$436,$AA144))</f>
        <v/>
      </c>
      <c r="G144" s="18" t="str">
        <f>IF($AA144=0,"",INDEX('13 - DATA &amp; LISTS'!$AE$30:$AE$436,$AA144))</f>
        <v/>
      </c>
      <c r="H144" s="19" t="str">
        <f>IF($AA144=0,"",INDEX('13 - DATA &amp; LISTS'!$AF$30:$AF$436,$AA144))</f>
        <v/>
      </c>
      <c r="I144" s="18" t="str">
        <f>IF($AA144=0,"",INDEX('13 - DATA &amp; LISTS'!$AG$30:$AG$436,$AA144))</f>
        <v/>
      </c>
      <c r="J144" s="18" t="str">
        <f>IF($AA144=0,"",INDEX('13 - DATA &amp; LISTS'!$AH$30:$AH$436,$AA144))</f>
        <v/>
      </c>
      <c r="K144" s="18" t="str">
        <f>IF($AA144=0,"",INDEX('13 - DATA &amp; LISTS'!$AI$30:$AI$436,$AA144))</f>
        <v/>
      </c>
      <c r="AA144">
        <f>IF(COUNTIF('13 - DATA &amp; LISTS'!$AK$30:$AK$436,"&lt;999999999999")&lt;136,0,MATCH(SMALL('13 - DATA &amp; LISTS'!$AK$30:$AK$436,136),'13 - DATA &amp; LISTS'!$AK$30:$AK$436,0))</f>
        <v>0</v>
      </c>
    </row>
    <row r="145" spans="1:27" ht="63.95" customHeight="1">
      <c r="A145" s="18" t="str">
        <f>IF($AA145=0,"",INDEX('13 - DATA &amp; LISTS'!$Y$30:$Y$436,$AA145))</f>
        <v/>
      </c>
      <c r="B145" s="18" t="str">
        <f>IF($AA145=0,"",INDEX('13 - DATA &amp; LISTS'!$Z$30:$Z$436,$AA145))</f>
        <v/>
      </c>
      <c r="C145" s="18" t="str">
        <f>IF($AA145=0,"",INDEX('13 - DATA &amp; LISTS'!$AA$30:$AA$436,$AA145))</f>
        <v/>
      </c>
      <c r="D145" s="18" t="str">
        <f>IF($AA145=0,"",INDEX('13 - DATA &amp; LISTS'!$AB$30:$AB$436,$AA145))</f>
        <v/>
      </c>
      <c r="E145" s="18" t="str">
        <f>IF($AA145=0,"",INDEX('13 - DATA &amp; LISTS'!$AC$30:$AC$436,$AA145))</f>
        <v/>
      </c>
      <c r="F145" s="18" t="str">
        <f>IF($AA145=0,"",INDEX('13 - DATA &amp; LISTS'!$AD$30:$AD$436,$AA145))</f>
        <v/>
      </c>
      <c r="G145" s="18" t="str">
        <f>IF($AA145=0,"",INDEX('13 - DATA &amp; LISTS'!$AE$30:$AE$436,$AA145))</f>
        <v/>
      </c>
      <c r="H145" s="19" t="str">
        <f>IF($AA145=0,"",INDEX('13 - DATA &amp; LISTS'!$AF$30:$AF$436,$AA145))</f>
        <v/>
      </c>
      <c r="I145" s="18" t="str">
        <f>IF($AA145=0,"",INDEX('13 - DATA &amp; LISTS'!$AG$30:$AG$436,$AA145))</f>
        <v/>
      </c>
      <c r="J145" s="18" t="str">
        <f>IF($AA145=0,"",INDEX('13 - DATA &amp; LISTS'!$AH$30:$AH$436,$AA145))</f>
        <v/>
      </c>
      <c r="K145" s="18" t="str">
        <f>IF($AA145=0,"",INDEX('13 - DATA &amp; LISTS'!$AI$30:$AI$436,$AA145))</f>
        <v/>
      </c>
      <c r="AA145">
        <f>IF(COUNTIF('13 - DATA &amp; LISTS'!$AK$30:$AK$436,"&lt;999999999999")&lt;137,0,MATCH(SMALL('13 - DATA &amp; LISTS'!$AK$30:$AK$436,137),'13 - DATA &amp; LISTS'!$AK$30:$AK$436,0))</f>
        <v>0</v>
      </c>
    </row>
    <row r="146" spans="1:27" ht="63.95" customHeight="1">
      <c r="A146" s="18" t="str">
        <f>IF($AA146=0,"",INDEX('13 - DATA &amp; LISTS'!$Y$30:$Y$436,$AA146))</f>
        <v/>
      </c>
      <c r="B146" s="18" t="str">
        <f>IF($AA146=0,"",INDEX('13 - DATA &amp; LISTS'!$Z$30:$Z$436,$AA146))</f>
        <v/>
      </c>
      <c r="C146" s="18" t="str">
        <f>IF($AA146=0,"",INDEX('13 - DATA &amp; LISTS'!$AA$30:$AA$436,$AA146))</f>
        <v/>
      </c>
      <c r="D146" s="18" t="str">
        <f>IF($AA146=0,"",INDEX('13 - DATA &amp; LISTS'!$AB$30:$AB$436,$AA146))</f>
        <v/>
      </c>
      <c r="E146" s="18" t="str">
        <f>IF($AA146=0,"",INDEX('13 - DATA &amp; LISTS'!$AC$30:$AC$436,$AA146))</f>
        <v/>
      </c>
      <c r="F146" s="18" t="str">
        <f>IF($AA146=0,"",INDEX('13 - DATA &amp; LISTS'!$AD$30:$AD$436,$AA146))</f>
        <v/>
      </c>
      <c r="G146" s="18" t="str">
        <f>IF($AA146=0,"",INDEX('13 - DATA &amp; LISTS'!$AE$30:$AE$436,$AA146))</f>
        <v/>
      </c>
      <c r="H146" s="19" t="str">
        <f>IF($AA146=0,"",INDEX('13 - DATA &amp; LISTS'!$AF$30:$AF$436,$AA146))</f>
        <v/>
      </c>
      <c r="I146" s="18" t="str">
        <f>IF($AA146=0,"",INDEX('13 - DATA &amp; LISTS'!$AG$30:$AG$436,$AA146))</f>
        <v/>
      </c>
      <c r="J146" s="18" t="str">
        <f>IF($AA146=0,"",INDEX('13 - DATA &amp; LISTS'!$AH$30:$AH$436,$AA146))</f>
        <v/>
      </c>
      <c r="K146" s="18" t="str">
        <f>IF($AA146=0,"",INDEX('13 - DATA &amp; LISTS'!$AI$30:$AI$436,$AA146))</f>
        <v/>
      </c>
      <c r="AA146">
        <f>IF(COUNTIF('13 - DATA &amp; LISTS'!$AK$30:$AK$436,"&lt;999999999999")&lt;138,0,MATCH(SMALL('13 - DATA &amp; LISTS'!$AK$30:$AK$436,138),'13 - DATA &amp; LISTS'!$AK$30:$AK$436,0))</f>
        <v>0</v>
      </c>
    </row>
    <row r="147" spans="1:27" ht="63.95" customHeight="1">
      <c r="A147" s="18" t="str">
        <f>IF($AA147=0,"",INDEX('13 - DATA &amp; LISTS'!$Y$30:$Y$436,$AA147))</f>
        <v/>
      </c>
      <c r="B147" s="18" t="str">
        <f>IF($AA147=0,"",INDEX('13 - DATA &amp; LISTS'!$Z$30:$Z$436,$AA147))</f>
        <v/>
      </c>
      <c r="C147" s="18" t="str">
        <f>IF($AA147=0,"",INDEX('13 - DATA &amp; LISTS'!$AA$30:$AA$436,$AA147))</f>
        <v/>
      </c>
      <c r="D147" s="18" t="str">
        <f>IF($AA147=0,"",INDEX('13 - DATA &amp; LISTS'!$AB$30:$AB$436,$AA147))</f>
        <v/>
      </c>
      <c r="E147" s="18" t="str">
        <f>IF($AA147=0,"",INDEX('13 - DATA &amp; LISTS'!$AC$30:$AC$436,$AA147))</f>
        <v/>
      </c>
      <c r="F147" s="18" t="str">
        <f>IF($AA147=0,"",INDEX('13 - DATA &amp; LISTS'!$AD$30:$AD$436,$AA147))</f>
        <v/>
      </c>
      <c r="G147" s="18" t="str">
        <f>IF($AA147=0,"",INDEX('13 - DATA &amp; LISTS'!$AE$30:$AE$436,$AA147))</f>
        <v/>
      </c>
      <c r="H147" s="19" t="str">
        <f>IF($AA147=0,"",INDEX('13 - DATA &amp; LISTS'!$AF$30:$AF$436,$AA147))</f>
        <v/>
      </c>
      <c r="I147" s="18" t="str">
        <f>IF($AA147=0,"",INDEX('13 - DATA &amp; LISTS'!$AG$30:$AG$436,$AA147))</f>
        <v/>
      </c>
      <c r="J147" s="18" t="str">
        <f>IF($AA147=0,"",INDEX('13 - DATA &amp; LISTS'!$AH$30:$AH$436,$AA147))</f>
        <v/>
      </c>
      <c r="K147" s="18" t="str">
        <f>IF($AA147=0,"",INDEX('13 - DATA &amp; LISTS'!$AI$30:$AI$436,$AA147))</f>
        <v/>
      </c>
      <c r="AA147">
        <f>IF(COUNTIF('13 - DATA &amp; LISTS'!$AK$30:$AK$436,"&lt;999999999999")&lt;139,0,MATCH(SMALL('13 - DATA &amp; LISTS'!$AK$30:$AK$436,139),'13 - DATA &amp; LISTS'!$AK$30:$AK$436,0))</f>
        <v>0</v>
      </c>
    </row>
    <row r="148" spans="1:27" ht="63.95" customHeight="1">
      <c r="A148" s="18" t="str">
        <f>IF($AA148=0,"",INDEX('13 - DATA &amp; LISTS'!$Y$30:$Y$436,$AA148))</f>
        <v/>
      </c>
      <c r="B148" s="18" t="str">
        <f>IF($AA148=0,"",INDEX('13 - DATA &amp; LISTS'!$Z$30:$Z$436,$AA148))</f>
        <v/>
      </c>
      <c r="C148" s="18" t="str">
        <f>IF($AA148=0,"",INDEX('13 - DATA &amp; LISTS'!$AA$30:$AA$436,$AA148))</f>
        <v/>
      </c>
      <c r="D148" s="18" t="str">
        <f>IF($AA148=0,"",INDEX('13 - DATA &amp; LISTS'!$AB$30:$AB$436,$AA148))</f>
        <v/>
      </c>
      <c r="E148" s="18" t="str">
        <f>IF($AA148=0,"",INDEX('13 - DATA &amp; LISTS'!$AC$30:$AC$436,$AA148))</f>
        <v/>
      </c>
      <c r="F148" s="18" t="str">
        <f>IF($AA148=0,"",INDEX('13 - DATA &amp; LISTS'!$AD$30:$AD$436,$AA148))</f>
        <v/>
      </c>
      <c r="G148" s="18" t="str">
        <f>IF($AA148=0,"",INDEX('13 - DATA &amp; LISTS'!$AE$30:$AE$436,$AA148))</f>
        <v/>
      </c>
      <c r="H148" s="19" t="str">
        <f>IF($AA148=0,"",INDEX('13 - DATA &amp; LISTS'!$AF$30:$AF$436,$AA148))</f>
        <v/>
      </c>
      <c r="I148" s="18" t="str">
        <f>IF($AA148=0,"",INDEX('13 - DATA &amp; LISTS'!$AG$30:$AG$436,$AA148))</f>
        <v/>
      </c>
      <c r="J148" s="18" t="str">
        <f>IF($AA148=0,"",INDEX('13 - DATA &amp; LISTS'!$AH$30:$AH$436,$AA148))</f>
        <v/>
      </c>
      <c r="K148" s="18" t="str">
        <f>IF($AA148=0,"",INDEX('13 - DATA &amp; LISTS'!$AI$30:$AI$436,$AA148))</f>
        <v/>
      </c>
      <c r="AA148">
        <f>IF(COUNTIF('13 - DATA &amp; LISTS'!$AK$30:$AK$436,"&lt;999999999999")&lt;140,0,MATCH(SMALL('13 - DATA &amp; LISTS'!$AK$30:$AK$436,140),'13 - DATA &amp; LISTS'!$AK$30:$AK$436,0))</f>
        <v>0</v>
      </c>
    </row>
    <row r="149" spans="1:27" ht="63.95" customHeight="1">
      <c r="A149" s="18" t="str">
        <f>IF($AA149=0,"",INDEX('13 - DATA &amp; LISTS'!$Y$30:$Y$436,$AA149))</f>
        <v/>
      </c>
      <c r="B149" s="18" t="str">
        <f>IF($AA149=0,"",INDEX('13 - DATA &amp; LISTS'!$Z$30:$Z$436,$AA149))</f>
        <v/>
      </c>
      <c r="C149" s="18" t="str">
        <f>IF($AA149=0,"",INDEX('13 - DATA &amp; LISTS'!$AA$30:$AA$436,$AA149))</f>
        <v/>
      </c>
      <c r="D149" s="18" t="str">
        <f>IF($AA149=0,"",INDEX('13 - DATA &amp; LISTS'!$AB$30:$AB$436,$AA149))</f>
        <v/>
      </c>
      <c r="E149" s="18" t="str">
        <f>IF($AA149=0,"",INDEX('13 - DATA &amp; LISTS'!$AC$30:$AC$436,$AA149))</f>
        <v/>
      </c>
      <c r="F149" s="18" t="str">
        <f>IF($AA149=0,"",INDEX('13 - DATA &amp; LISTS'!$AD$30:$AD$436,$AA149))</f>
        <v/>
      </c>
      <c r="G149" s="18" t="str">
        <f>IF($AA149=0,"",INDEX('13 - DATA &amp; LISTS'!$AE$30:$AE$436,$AA149))</f>
        <v/>
      </c>
      <c r="H149" s="19" t="str">
        <f>IF($AA149=0,"",INDEX('13 - DATA &amp; LISTS'!$AF$30:$AF$436,$AA149))</f>
        <v/>
      </c>
      <c r="I149" s="18" t="str">
        <f>IF($AA149=0,"",INDEX('13 - DATA &amp; LISTS'!$AG$30:$AG$436,$AA149))</f>
        <v/>
      </c>
      <c r="J149" s="18" t="str">
        <f>IF($AA149=0,"",INDEX('13 - DATA &amp; LISTS'!$AH$30:$AH$436,$AA149))</f>
        <v/>
      </c>
      <c r="K149" s="18" t="str">
        <f>IF($AA149=0,"",INDEX('13 - DATA &amp; LISTS'!$AI$30:$AI$436,$AA149))</f>
        <v/>
      </c>
      <c r="AA149">
        <f>IF(COUNTIF('13 - DATA &amp; LISTS'!$AK$30:$AK$436,"&lt;999999999999")&lt;141,0,MATCH(SMALL('13 - DATA &amp; LISTS'!$AK$30:$AK$436,141),'13 - DATA &amp; LISTS'!$AK$30:$AK$436,0))</f>
        <v>0</v>
      </c>
    </row>
    <row r="150" spans="1:27" ht="63.95" customHeight="1">
      <c r="A150" s="18" t="str">
        <f>IF($AA150=0,"",INDEX('13 - DATA &amp; LISTS'!$Y$30:$Y$436,$AA150))</f>
        <v/>
      </c>
      <c r="B150" s="18" t="str">
        <f>IF($AA150=0,"",INDEX('13 - DATA &amp; LISTS'!$Z$30:$Z$436,$AA150))</f>
        <v/>
      </c>
      <c r="C150" s="18" t="str">
        <f>IF($AA150=0,"",INDEX('13 - DATA &amp; LISTS'!$AA$30:$AA$436,$AA150))</f>
        <v/>
      </c>
      <c r="D150" s="18" t="str">
        <f>IF($AA150=0,"",INDEX('13 - DATA &amp; LISTS'!$AB$30:$AB$436,$AA150))</f>
        <v/>
      </c>
      <c r="E150" s="18" t="str">
        <f>IF($AA150=0,"",INDEX('13 - DATA &amp; LISTS'!$AC$30:$AC$436,$AA150))</f>
        <v/>
      </c>
      <c r="F150" s="18" t="str">
        <f>IF($AA150=0,"",INDEX('13 - DATA &amp; LISTS'!$AD$30:$AD$436,$AA150))</f>
        <v/>
      </c>
      <c r="G150" s="18" t="str">
        <f>IF($AA150=0,"",INDEX('13 - DATA &amp; LISTS'!$AE$30:$AE$436,$AA150))</f>
        <v/>
      </c>
      <c r="H150" s="19" t="str">
        <f>IF($AA150=0,"",INDEX('13 - DATA &amp; LISTS'!$AF$30:$AF$436,$AA150))</f>
        <v/>
      </c>
      <c r="I150" s="18" t="str">
        <f>IF($AA150=0,"",INDEX('13 - DATA &amp; LISTS'!$AG$30:$AG$436,$AA150))</f>
        <v/>
      </c>
      <c r="J150" s="18" t="str">
        <f>IF($AA150=0,"",INDEX('13 - DATA &amp; LISTS'!$AH$30:$AH$436,$AA150))</f>
        <v/>
      </c>
      <c r="K150" s="18" t="str">
        <f>IF($AA150=0,"",INDEX('13 - DATA &amp; LISTS'!$AI$30:$AI$436,$AA150))</f>
        <v/>
      </c>
      <c r="AA150">
        <f>IF(COUNTIF('13 - DATA &amp; LISTS'!$AK$30:$AK$436,"&lt;999999999999")&lt;142,0,MATCH(SMALL('13 - DATA &amp; LISTS'!$AK$30:$AK$436,142),'13 - DATA &amp; LISTS'!$AK$30:$AK$436,0))</f>
        <v>0</v>
      </c>
    </row>
    <row r="151" spans="1:27" ht="63.95" customHeight="1">
      <c r="A151" s="18" t="str">
        <f>IF($AA151=0,"",INDEX('13 - DATA &amp; LISTS'!$Y$30:$Y$436,$AA151))</f>
        <v/>
      </c>
      <c r="B151" s="18" t="str">
        <f>IF($AA151=0,"",INDEX('13 - DATA &amp; LISTS'!$Z$30:$Z$436,$AA151))</f>
        <v/>
      </c>
      <c r="C151" s="18" t="str">
        <f>IF($AA151=0,"",INDEX('13 - DATA &amp; LISTS'!$AA$30:$AA$436,$AA151))</f>
        <v/>
      </c>
      <c r="D151" s="18" t="str">
        <f>IF($AA151=0,"",INDEX('13 - DATA &amp; LISTS'!$AB$30:$AB$436,$AA151))</f>
        <v/>
      </c>
      <c r="E151" s="18" t="str">
        <f>IF($AA151=0,"",INDEX('13 - DATA &amp; LISTS'!$AC$30:$AC$436,$AA151))</f>
        <v/>
      </c>
      <c r="F151" s="18" t="str">
        <f>IF($AA151=0,"",INDEX('13 - DATA &amp; LISTS'!$AD$30:$AD$436,$AA151))</f>
        <v/>
      </c>
      <c r="G151" s="18" t="str">
        <f>IF($AA151=0,"",INDEX('13 - DATA &amp; LISTS'!$AE$30:$AE$436,$AA151))</f>
        <v/>
      </c>
      <c r="H151" s="19" t="str">
        <f>IF($AA151=0,"",INDEX('13 - DATA &amp; LISTS'!$AF$30:$AF$436,$AA151))</f>
        <v/>
      </c>
      <c r="I151" s="18" t="str">
        <f>IF($AA151=0,"",INDEX('13 - DATA &amp; LISTS'!$AG$30:$AG$436,$AA151))</f>
        <v/>
      </c>
      <c r="J151" s="18" t="str">
        <f>IF($AA151=0,"",INDEX('13 - DATA &amp; LISTS'!$AH$30:$AH$436,$AA151))</f>
        <v/>
      </c>
      <c r="K151" s="18" t="str">
        <f>IF($AA151=0,"",INDEX('13 - DATA &amp; LISTS'!$AI$30:$AI$436,$AA151))</f>
        <v/>
      </c>
      <c r="AA151">
        <f>IF(COUNTIF('13 - DATA &amp; LISTS'!$AK$30:$AK$436,"&lt;999999999999")&lt;143,0,MATCH(SMALL('13 - DATA &amp; LISTS'!$AK$30:$AK$436,143),'13 - DATA &amp; LISTS'!$AK$30:$AK$436,0))</f>
        <v>0</v>
      </c>
    </row>
    <row r="152" spans="1:27" ht="63.95" customHeight="1">
      <c r="A152" s="18" t="str">
        <f>IF($AA152=0,"",INDEX('13 - DATA &amp; LISTS'!$Y$30:$Y$436,$AA152))</f>
        <v/>
      </c>
      <c r="B152" s="18" t="str">
        <f>IF($AA152=0,"",INDEX('13 - DATA &amp; LISTS'!$Z$30:$Z$436,$AA152))</f>
        <v/>
      </c>
      <c r="C152" s="18" t="str">
        <f>IF($AA152=0,"",INDEX('13 - DATA &amp; LISTS'!$AA$30:$AA$436,$AA152))</f>
        <v/>
      </c>
      <c r="D152" s="18" t="str">
        <f>IF($AA152=0,"",INDEX('13 - DATA &amp; LISTS'!$AB$30:$AB$436,$AA152))</f>
        <v/>
      </c>
      <c r="E152" s="18" t="str">
        <f>IF($AA152=0,"",INDEX('13 - DATA &amp; LISTS'!$AC$30:$AC$436,$AA152))</f>
        <v/>
      </c>
      <c r="F152" s="18" t="str">
        <f>IF($AA152=0,"",INDEX('13 - DATA &amp; LISTS'!$AD$30:$AD$436,$AA152))</f>
        <v/>
      </c>
      <c r="G152" s="18" t="str">
        <f>IF($AA152=0,"",INDEX('13 - DATA &amp; LISTS'!$AE$30:$AE$436,$AA152))</f>
        <v/>
      </c>
      <c r="H152" s="19" t="str">
        <f>IF($AA152=0,"",INDEX('13 - DATA &amp; LISTS'!$AF$30:$AF$436,$AA152))</f>
        <v/>
      </c>
      <c r="I152" s="18" t="str">
        <f>IF($AA152=0,"",INDEX('13 - DATA &amp; LISTS'!$AG$30:$AG$436,$AA152))</f>
        <v/>
      </c>
      <c r="J152" s="18" t="str">
        <f>IF($AA152=0,"",INDEX('13 - DATA &amp; LISTS'!$AH$30:$AH$436,$AA152))</f>
        <v/>
      </c>
      <c r="K152" s="18" t="str">
        <f>IF($AA152=0,"",INDEX('13 - DATA &amp; LISTS'!$AI$30:$AI$436,$AA152))</f>
        <v/>
      </c>
      <c r="AA152">
        <f>IF(COUNTIF('13 - DATA &amp; LISTS'!$AK$30:$AK$436,"&lt;999999999999")&lt;144,0,MATCH(SMALL('13 - DATA &amp; LISTS'!$AK$30:$AK$436,144),'13 - DATA &amp; LISTS'!$AK$30:$AK$436,0))</f>
        <v>0</v>
      </c>
    </row>
    <row r="153" spans="1:27" ht="63.95" customHeight="1">
      <c r="A153" s="18" t="str">
        <f>IF($AA153=0,"",INDEX('13 - DATA &amp; LISTS'!$Y$30:$Y$436,$AA153))</f>
        <v/>
      </c>
      <c r="B153" s="18" t="str">
        <f>IF($AA153=0,"",INDEX('13 - DATA &amp; LISTS'!$Z$30:$Z$436,$AA153))</f>
        <v/>
      </c>
      <c r="C153" s="18" t="str">
        <f>IF($AA153=0,"",INDEX('13 - DATA &amp; LISTS'!$AA$30:$AA$436,$AA153))</f>
        <v/>
      </c>
      <c r="D153" s="18" t="str">
        <f>IF($AA153=0,"",INDEX('13 - DATA &amp; LISTS'!$AB$30:$AB$436,$AA153))</f>
        <v/>
      </c>
      <c r="E153" s="18" t="str">
        <f>IF($AA153=0,"",INDEX('13 - DATA &amp; LISTS'!$AC$30:$AC$436,$AA153))</f>
        <v/>
      </c>
      <c r="F153" s="18" t="str">
        <f>IF($AA153=0,"",INDEX('13 - DATA &amp; LISTS'!$AD$30:$AD$436,$AA153))</f>
        <v/>
      </c>
      <c r="G153" s="18" t="str">
        <f>IF($AA153=0,"",INDEX('13 - DATA &amp; LISTS'!$AE$30:$AE$436,$AA153))</f>
        <v/>
      </c>
      <c r="H153" s="19" t="str">
        <f>IF($AA153=0,"",INDEX('13 - DATA &amp; LISTS'!$AF$30:$AF$436,$AA153))</f>
        <v/>
      </c>
      <c r="I153" s="18" t="str">
        <f>IF($AA153=0,"",INDEX('13 - DATA &amp; LISTS'!$AG$30:$AG$436,$AA153))</f>
        <v/>
      </c>
      <c r="J153" s="18" t="str">
        <f>IF($AA153=0,"",INDEX('13 - DATA &amp; LISTS'!$AH$30:$AH$436,$AA153))</f>
        <v/>
      </c>
      <c r="K153" s="18" t="str">
        <f>IF($AA153=0,"",INDEX('13 - DATA &amp; LISTS'!$AI$30:$AI$436,$AA153))</f>
        <v/>
      </c>
      <c r="AA153">
        <f>IF(COUNTIF('13 - DATA &amp; LISTS'!$AK$30:$AK$436,"&lt;999999999999")&lt;145,0,MATCH(SMALL('13 - DATA &amp; LISTS'!$AK$30:$AK$436,145),'13 - DATA &amp; LISTS'!$AK$30:$AK$436,0))</f>
        <v>0</v>
      </c>
    </row>
    <row r="154" spans="1:27" ht="63.95" customHeight="1">
      <c r="A154" s="18" t="str">
        <f>IF($AA154=0,"",INDEX('13 - DATA &amp; LISTS'!$Y$30:$Y$436,$AA154))</f>
        <v/>
      </c>
      <c r="B154" s="18" t="str">
        <f>IF($AA154=0,"",INDEX('13 - DATA &amp; LISTS'!$Z$30:$Z$436,$AA154))</f>
        <v/>
      </c>
      <c r="C154" s="18" t="str">
        <f>IF($AA154=0,"",INDEX('13 - DATA &amp; LISTS'!$AA$30:$AA$436,$AA154))</f>
        <v/>
      </c>
      <c r="D154" s="18" t="str">
        <f>IF($AA154=0,"",INDEX('13 - DATA &amp; LISTS'!$AB$30:$AB$436,$AA154))</f>
        <v/>
      </c>
      <c r="E154" s="18" t="str">
        <f>IF($AA154=0,"",INDEX('13 - DATA &amp; LISTS'!$AC$30:$AC$436,$AA154))</f>
        <v/>
      </c>
      <c r="F154" s="18" t="str">
        <f>IF($AA154=0,"",INDEX('13 - DATA &amp; LISTS'!$AD$30:$AD$436,$AA154))</f>
        <v/>
      </c>
      <c r="G154" s="18" t="str">
        <f>IF($AA154=0,"",INDEX('13 - DATA &amp; LISTS'!$AE$30:$AE$436,$AA154))</f>
        <v/>
      </c>
      <c r="H154" s="19" t="str">
        <f>IF($AA154=0,"",INDEX('13 - DATA &amp; LISTS'!$AF$30:$AF$436,$AA154))</f>
        <v/>
      </c>
      <c r="I154" s="18" t="str">
        <f>IF($AA154=0,"",INDEX('13 - DATA &amp; LISTS'!$AG$30:$AG$436,$AA154))</f>
        <v/>
      </c>
      <c r="J154" s="18" t="str">
        <f>IF($AA154=0,"",INDEX('13 - DATA &amp; LISTS'!$AH$30:$AH$436,$AA154))</f>
        <v/>
      </c>
      <c r="K154" s="18" t="str">
        <f>IF($AA154=0,"",INDEX('13 - DATA &amp; LISTS'!$AI$30:$AI$436,$AA154))</f>
        <v/>
      </c>
      <c r="AA154">
        <f>IF(COUNTIF('13 - DATA &amp; LISTS'!$AK$30:$AK$436,"&lt;999999999999")&lt;146,0,MATCH(SMALL('13 - DATA &amp; LISTS'!$AK$30:$AK$436,146),'13 - DATA &amp; LISTS'!$AK$30:$AK$436,0))</f>
        <v>0</v>
      </c>
    </row>
    <row r="155" spans="1:27" ht="63.95" customHeight="1">
      <c r="A155" s="18" t="str">
        <f>IF($AA155=0,"",INDEX('13 - DATA &amp; LISTS'!$Y$30:$Y$436,$AA155))</f>
        <v/>
      </c>
      <c r="B155" s="18" t="str">
        <f>IF($AA155=0,"",INDEX('13 - DATA &amp; LISTS'!$Z$30:$Z$436,$AA155))</f>
        <v/>
      </c>
      <c r="C155" s="18" t="str">
        <f>IF($AA155=0,"",INDEX('13 - DATA &amp; LISTS'!$AA$30:$AA$436,$AA155))</f>
        <v/>
      </c>
      <c r="D155" s="18" t="str">
        <f>IF($AA155=0,"",INDEX('13 - DATA &amp; LISTS'!$AB$30:$AB$436,$AA155))</f>
        <v/>
      </c>
      <c r="E155" s="18" t="str">
        <f>IF($AA155=0,"",INDEX('13 - DATA &amp; LISTS'!$AC$30:$AC$436,$AA155))</f>
        <v/>
      </c>
      <c r="F155" s="18" t="str">
        <f>IF($AA155=0,"",INDEX('13 - DATA &amp; LISTS'!$AD$30:$AD$436,$AA155))</f>
        <v/>
      </c>
      <c r="G155" s="18" t="str">
        <f>IF($AA155=0,"",INDEX('13 - DATA &amp; LISTS'!$AE$30:$AE$436,$AA155))</f>
        <v/>
      </c>
      <c r="H155" s="19" t="str">
        <f>IF($AA155=0,"",INDEX('13 - DATA &amp; LISTS'!$AF$30:$AF$436,$AA155))</f>
        <v/>
      </c>
      <c r="I155" s="18" t="str">
        <f>IF($AA155=0,"",INDEX('13 - DATA &amp; LISTS'!$AG$30:$AG$436,$AA155))</f>
        <v/>
      </c>
      <c r="J155" s="18" t="str">
        <f>IF($AA155=0,"",INDEX('13 - DATA &amp; LISTS'!$AH$30:$AH$436,$AA155))</f>
        <v/>
      </c>
      <c r="K155" s="18" t="str">
        <f>IF($AA155=0,"",INDEX('13 - DATA &amp; LISTS'!$AI$30:$AI$436,$AA155))</f>
        <v/>
      </c>
      <c r="AA155">
        <f>IF(COUNTIF('13 - DATA &amp; LISTS'!$AK$30:$AK$436,"&lt;999999999999")&lt;147,0,MATCH(SMALL('13 - DATA &amp; LISTS'!$AK$30:$AK$436,147),'13 - DATA &amp; LISTS'!$AK$30:$AK$436,0))</f>
        <v>0</v>
      </c>
    </row>
    <row r="156" spans="1:27" ht="63.95" customHeight="1">
      <c r="A156" s="18" t="str">
        <f>IF($AA156=0,"",INDEX('13 - DATA &amp; LISTS'!$Y$30:$Y$436,$AA156))</f>
        <v/>
      </c>
      <c r="B156" s="18" t="str">
        <f>IF($AA156=0,"",INDEX('13 - DATA &amp; LISTS'!$Z$30:$Z$436,$AA156))</f>
        <v/>
      </c>
      <c r="C156" s="18" t="str">
        <f>IF($AA156=0,"",INDEX('13 - DATA &amp; LISTS'!$AA$30:$AA$436,$AA156))</f>
        <v/>
      </c>
      <c r="D156" s="18" t="str">
        <f>IF($AA156=0,"",INDEX('13 - DATA &amp; LISTS'!$AB$30:$AB$436,$AA156))</f>
        <v/>
      </c>
      <c r="E156" s="18" t="str">
        <f>IF($AA156=0,"",INDEX('13 - DATA &amp; LISTS'!$AC$30:$AC$436,$AA156))</f>
        <v/>
      </c>
      <c r="F156" s="18" t="str">
        <f>IF($AA156=0,"",INDEX('13 - DATA &amp; LISTS'!$AD$30:$AD$436,$AA156))</f>
        <v/>
      </c>
      <c r="G156" s="18" t="str">
        <f>IF($AA156=0,"",INDEX('13 - DATA &amp; LISTS'!$AE$30:$AE$436,$AA156))</f>
        <v/>
      </c>
      <c r="H156" s="19" t="str">
        <f>IF($AA156=0,"",INDEX('13 - DATA &amp; LISTS'!$AF$30:$AF$436,$AA156))</f>
        <v/>
      </c>
      <c r="I156" s="18" t="str">
        <f>IF($AA156=0,"",INDEX('13 - DATA &amp; LISTS'!$AG$30:$AG$436,$AA156))</f>
        <v/>
      </c>
      <c r="J156" s="18" t="str">
        <f>IF($AA156=0,"",INDEX('13 - DATA &amp; LISTS'!$AH$30:$AH$436,$AA156))</f>
        <v/>
      </c>
      <c r="K156" s="18" t="str">
        <f>IF($AA156=0,"",INDEX('13 - DATA &amp; LISTS'!$AI$30:$AI$436,$AA156))</f>
        <v/>
      </c>
      <c r="AA156">
        <f>IF(COUNTIF('13 - DATA &amp; LISTS'!$AK$30:$AK$436,"&lt;999999999999")&lt;148,0,MATCH(SMALL('13 - DATA &amp; LISTS'!$AK$30:$AK$436,148),'13 - DATA &amp; LISTS'!$AK$30:$AK$436,0))</f>
        <v>0</v>
      </c>
    </row>
    <row r="157" spans="1:27" ht="63.95" customHeight="1">
      <c r="A157" s="18" t="str">
        <f>IF($AA157=0,"",INDEX('13 - DATA &amp; LISTS'!$Y$30:$Y$436,$AA157))</f>
        <v/>
      </c>
      <c r="B157" s="18" t="str">
        <f>IF($AA157=0,"",INDEX('13 - DATA &amp; LISTS'!$Z$30:$Z$436,$AA157))</f>
        <v/>
      </c>
      <c r="C157" s="18" t="str">
        <f>IF($AA157=0,"",INDEX('13 - DATA &amp; LISTS'!$AA$30:$AA$436,$AA157))</f>
        <v/>
      </c>
      <c r="D157" s="18" t="str">
        <f>IF($AA157=0,"",INDEX('13 - DATA &amp; LISTS'!$AB$30:$AB$436,$AA157))</f>
        <v/>
      </c>
      <c r="E157" s="18" t="str">
        <f>IF($AA157=0,"",INDEX('13 - DATA &amp; LISTS'!$AC$30:$AC$436,$AA157))</f>
        <v/>
      </c>
      <c r="F157" s="18" t="str">
        <f>IF($AA157=0,"",INDEX('13 - DATA &amp; LISTS'!$AD$30:$AD$436,$AA157))</f>
        <v/>
      </c>
      <c r="G157" s="18" t="str">
        <f>IF($AA157=0,"",INDEX('13 - DATA &amp; LISTS'!$AE$30:$AE$436,$AA157))</f>
        <v/>
      </c>
      <c r="H157" s="19" t="str">
        <f>IF($AA157=0,"",INDEX('13 - DATA &amp; LISTS'!$AF$30:$AF$436,$AA157))</f>
        <v/>
      </c>
      <c r="I157" s="18" t="str">
        <f>IF($AA157=0,"",INDEX('13 - DATA &amp; LISTS'!$AG$30:$AG$436,$AA157))</f>
        <v/>
      </c>
      <c r="J157" s="18" t="str">
        <f>IF($AA157=0,"",INDEX('13 - DATA &amp; LISTS'!$AH$30:$AH$436,$AA157))</f>
        <v/>
      </c>
      <c r="K157" s="18" t="str">
        <f>IF($AA157=0,"",INDEX('13 - DATA &amp; LISTS'!$AI$30:$AI$436,$AA157))</f>
        <v/>
      </c>
      <c r="AA157">
        <f>IF(COUNTIF('13 - DATA &amp; LISTS'!$AK$30:$AK$436,"&lt;999999999999")&lt;149,0,MATCH(SMALL('13 - DATA &amp; LISTS'!$AK$30:$AK$436,149),'13 - DATA &amp; LISTS'!$AK$30:$AK$436,0))</f>
        <v>0</v>
      </c>
    </row>
    <row r="158" spans="1:27" ht="63.95" customHeight="1">
      <c r="A158" s="18" t="str">
        <f>IF($AA158=0,"",INDEX('13 - DATA &amp; LISTS'!$Y$30:$Y$436,$AA158))</f>
        <v/>
      </c>
      <c r="B158" s="18" t="str">
        <f>IF($AA158=0,"",INDEX('13 - DATA &amp; LISTS'!$Z$30:$Z$436,$AA158))</f>
        <v/>
      </c>
      <c r="C158" s="18" t="str">
        <f>IF($AA158=0,"",INDEX('13 - DATA &amp; LISTS'!$AA$30:$AA$436,$AA158))</f>
        <v/>
      </c>
      <c r="D158" s="18" t="str">
        <f>IF($AA158=0,"",INDEX('13 - DATA &amp; LISTS'!$AB$30:$AB$436,$AA158))</f>
        <v/>
      </c>
      <c r="E158" s="18" t="str">
        <f>IF($AA158=0,"",INDEX('13 - DATA &amp; LISTS'!$AC$30:$AC$436,$AA158))</f>
        <v/>
      </c>
      <c r="F158" s="18" t="str">
        <f>IF($AA158=0,"",INDEX('13 - DATA &amp; LISTS'!$AD$30:$AD$436,$AA158))</f>
        <v/>
      </c>
      <c r="G158" s="18" t="str">
        <f>IF($AA158=0,"",INDEX('13 - DATA &amp; LISTS'!$AE$30:$AE$436,$AA158))</f>
        <v/>
      </c>
      <c r="H158" s="19" t="str">
        <f>IF($AA158=0,"",INDEX('13 - DATA &amp; LISTS'!$AF$30:$AF$436,$AA158))</f>
        <v/>
      </c>
      <c r="I158" s="18" t="str">
        <f>IF($AA158=0,"",INDEX('13 - DATA &amp; LISTS'!$AG$30:$AG$436,$AA158))</f>
        <v/>
      </c>
      <c r="J158" s="18" t="str">
        <f>IF($AA158=0,"",INDEX('13 - DATA &amp; LISTS'!$AH$30:$AH$436,$AA158))</f>
        <v/>
      </c>
      <c r="K158" s="18" t="str">
        <f>IF($AA158=0,"",INDEX('13 - DATA &amp; LISTS'!$AI$30:$AI$436,$AA158))</f>
        <v/>
      </c>
      <c r="AA158">
        <f>IF(COUNTIF('13 - DATA &amp; LISTS'!$AK$30:$AK$436,"&lt;999999999999")&lt;150,0,MATCH(SMALL('13 - DATA &amp; LISTS'!$AK$30:$AK$436,150),'13 - DATA &amp; LISTS'!$AK$30:$AK$436,0))</f>
        <v>0</v>
      </c>
    </row>
    <row r="159" spans="1:27" ht="63.95" customHeight="1">
      <c r="A159" s="18" t="str">
        <f>IF($AA159=0,"",INDEX('13 - DATA &amp; LISTS'!$Y$30:$Y$436,$AA159))</f>
        <v/>
      </c>
      <c r="B159" s="18" t="str">
        <f>IF($AA159=0,"",INDEX('13 - DATA &amp; LISTS'!$Z$30:$Z$436,$AA159))</f>
        <v/>
      </c>
      <c r="C159" s="18" t="str">
        <f>IF($AA159=0,"",INDEX('13 - DATA &amp; LISTS'!$AA$30:$AA$436,$AA159))</f>
        <v/>
      </c>
      <c r="D159" s="18" t="str">
        <f>IF($AA159=0,"",INDEX('13 - DATA &amp; LISTS'!$AB$30:$AB$436,$AA159))</f>
        <v/>
      </c>
      <c r="E159" s="18" t="str">
        <f>IF($AA159=0,"",INDEX('13 - DATA &amp; LISTS'!$AC$30:$AC$436,$AA159))</f>
        <v/>
      </c>
      <c r="F159" s="18" t="str">
        <f>IF($AA159=0,"",INDEX('13 - DATA &amp; LISTS'!$AD$30:$AD$436,$AA159))</f>
        <v/>
      </c>
      <c r="G159" s="18" t="str">
        <f>IF($AA159=0,"",INDEX('13 - DATA &amp; LISTS'!$AE$30:$AE$436,$AA159))</f>
        <v/>
      </c>
      <c r="H159" s="19" t="str">
        <f>IF($AA159=0,"",INDEX('13 - DATA &amp; LISTS'!$AF$30:$AF$436,$AA159))</f>
        <v/>
      </c>
      <c r="I159" s="18" t="str">
        <f>IF($AA159=0,"",INDEX('13 - DATA &amp; LISTS'!$AG$30:$AG$436,$AA159))</f>
        <v/>
      </c>
      <c r="J159" s="18" t="str">
        <f>IF($AA159=0,"",INDEX('13 - DATA &amp; LISTS'!$AH$30:$AH$436,$AA159))</f>
        <v/>
      </c>
      <c r="K159" s="18" t="str">
        <f>IF($AA159=0,"",INDEX('13 - DATA &amp; LISTS'!$AI$30:$AI$436,$AA159))</f>
        <v/>
      </c>
      <c r="AA159">
        <f>IF(COUNTIF('13 - DATA &amp; LISTS'!$AK$30:$AK$436,"&lt;999999999999")&lt;151,0,MATCH(SMALL('13 - DATA &amp; LISTS'!$AK$30:$AK$436,151),'13 - DATA &amp; LISTS'!$AK$30:$AK$436,0))</f>
        <v>0</v>
      </c>
    </row>
    <row r="160" spans="1:27" ht="63.95" customHeight="1">
      <c r="A160" s="18" t="str">
        <f>IF($AA160=0,"",INDEX('13 - DATA &amp; LISTS'!$Y$30:$Y$436,$AA160))</f>
        <v/>
      </c>
      <c r="B160" s="18" t="str">
        <f>IF($AA160=0,"",INDEX('13 - DATA &amp; LISTS'!$Z$30:$Z$436,$AA160))</f>
        <v/>
      </c>
      <c r="C160" s="18" t="str">
        <f>IF($AA160=0,"",INDEX('13 - DATA &amp; LISTS'!$AA$30:$AA$436,$AA160))</f>
        <v/>
      </c>
      <c r="D160" s="18" t="str">
        <f>IF($AA160=0,"",INDEX('13 - DATA &amp; LISTS'!$AB$30:$AB$436,$AA160))</f>
        <v/>
      </c>
      <c r="E160" s="18" t="str">
        <f>IF($AA160=0,"",INDEX('13 - DATA &amp; LISTS'!$AC$30:$AC$436,$AA160))</f>
        <v/>
      </c>
      <c r="F160" s="18" t="str">
        <f>IF($AA160=0,"",INDEX('13 - DATA &amp; LISTS'!$AD$30:$AD$436,$AA160))</f>
        <v/>
      </c>
      <c r="G160" s="18" t="str">
        <f>IF($AA160=0,"",INDEX('13 - DATA &amp; LISTS'!$AE$30:$AE$436,$AA160))</f>
        <v/>
      </c>
      <c r="H160" s="19" t="str">
        <f>IF($AA160=0,"",INDEX('13 - DATA &amp; LISTS'!$AF$30:$AF$436,$AA160))</f>
        <v/>
      </c>
      <c r="I160" s="18" t="str">
        <f>IF($AA160=0,"",INDEX('13 - DATA &amp; LISTS'!$AG$30:$AG$436,$AA160))</f>
        <v/>
      </c>
      <c r="J160" s="18" t="str">
        <f>IF($AA160=0,"",INDEX('13 - DATA &amp; LISTS'!$AH$30:$AH$436,$AA160))</f>
        <v/>
      </c>
      <c r="K160" s="18" t="str">
        <f>IF($AA160=0,"",INDEX('13 - DATA &amp; LISTS'!$AI$30:$AI$436,$AA160))</f>
        <v/>
      </c>
      <c r="AA160">
        <f>IF(COUNTIF('13 - DATA &amp; LISTS'!$AK$30:$AK$436,"&lt;999999999999")&lt;152,0,MATCH(SMALL('13 - DATA &amp; LISTS'!$AK$30:$AK$436,152),'13 - DATA &amp; LISTS'!$AK$30:$AK$436,0))</f>
        <v>0</v>
      </c>
    </row>
    <row r="161" spans="1:27" ht="63.95" customHeight="1">
      <c r="A161" s="18" t="str">
        <f>IF($AA161=0,"",INDEX('13 - DATA &amp; LISTS'!$Y$30:$Y$436,$AA161))</f>
        <v/>
      </c>
      <c r="B161" s="18" t="str">
        <f>IF($AA161=0,"",INDEX('13 - DATA &amp; LISTS'!$Z$30:$Z$436,$AA161))</f>
        <v/>
      </c>
      <c r="C161" s="18" t="str">
        <f>IF($AA161=0,"",INDEX('13 - DATA &amp; LISTS'!$AA$30:$AA$436,$AA161))</f>
        <v/>
      </c>
      <c r="D161" s="18" t="str">
        <f>IF($AA161=0,"",INDEX('13 - DATA &amp; LISTS'!$AB$30:$AB$436,$AA161))</f>
        <v/>
      </c>
      <c r="E161" s="18" t="str">
        <f>IF($AA161=0,"",INDEX('13 - DATA &amp; LISTS'!$AC$30:$AC$436,$AA161))</f>
        <v/>
      </c>
      <c r="F161" s="18" t="str">
        <f>IF($AA161=0,"",INDEX('13 - DATA &amp; LISTS'!$AD$30:$AD$436,$AA161))</f>
        <v/>
      </c>
      <c r="G161" s="18" t="str">
        <f>IF($AA161=0,"",INDEX('13 - DATA &amp; LISTS'!$AE$30:$AE$436,$AA161))</f>
        <v/>
      </c>
      <c r="H161" s="19" t="str">
        <f>IF($AA161=0,"",INDEX('13 - DATA &amp; LISTS'!$AF$30:$AF$436,$AA161))</f>
        <v/>
      </c>
      <c r="I161" s="18" t="str">
        <f>IF($AA161=0,"",INDEX('13 - DATA &amp; LISTS'!$AG$30:$AG$436,$AA161))</f>
        <v/>
      </c>
      <c r="J161" s="18" t="str">
        <f>IF($AA161=0,"",INDEX('13 - DATA &amp; LISTS'!$AH$30:$AH$436,$AA161))</f>
        <v/>
      </c>
      <c r="K161" s="18" t="str">
        <f>IF($AA161=0,"",INDEX('13 - DATA &amp; LISTS'!$AI$30:$AI$436,$AA161))</f>
        <v/>
      </c>
      <c r="AA161">
        <f>IF(COUNTIF('13 - DATA &amp; LISTS'!$AK$30:$AK$436,"&lt;999999999999")&lt;153,0,MATCH(SMALL('13 - DATA &amp; LISTS'!$AK$30:$AK$436,153),'13 - DATA &amp; LISTS'!$AK$30:$AK$436,0))</f>
        <v>0</v>
      </c>
    </row>
    <row r="162" spans="1:27" ht="63.95" customHeight="1">
      <c r="A162" s="18" t="str">
        <f>IF($AA162=0,"",INDEX('13 - DATA &amp; LISTS'!$Y$30:$Y$436,$AA162))</f>
        <v/>
      </c>
      <c r="B162" s="18" t="str">
        <f>IF($AA162=0,"",INDEX('13 - DATA &amp; LISTS'!$Z$30:$Z$436,$AA162))</f>
        <v/>
      </c>
      <c r="C162" s="18" t="str">
        <f>IF($AA162=0,"",INDEX('13 - DATA &amp; LISTS'!$AA$30:$AA$436,$AA162))</f>
        <v/>
      </c>
      <c r="D162" s="18" t="str">
        <f>IF($AA162=0,"",INDEX('13 - DATA &amp; LISTS'!$AB$30:$AB$436,$AA162))</f>
        <v/>
      </c>
      <c r="E162" s="18" t="str">
        <f>IF($AA162=0,"",INDEX('13 - DATA &amp; LISTS'!$AC$30:$AC$436,$AA162))</f>
        <v/>
      </c>
      <c r="F162" s="18" t="str">
        <f>IF($AA162=0,"",INDEX('13 - DATA &amp; LISTS'!$AD$30:$AD$436,$AA162))</f>
        <v/>
      </c>
      <c r="G162" s="18" t="str">
        <f>IF($AA162=0,"",INDEX('13 - DATA &amp; LISTS'!$AE$30:$AE$436,$AA162))</f>
        <v/>
      </c>
      <c r="H162" s="19" t="str">
        <f>IF($AA162=0,"",INDEX('13 - DATA &amp; LISTS'!$AF$30:$AF$436,$AA162))</f>
        <v/>
      </c>
      <c r="I162" s="18" t="str">
        <f>IF($AA162=0,"",INDEX('13 - DATA &amp; LISTS'!$AG$30:$AG$436,$AA162))</f>
        <v/>
      </c>
      <c r="J162" s="18" t="str">
        <f>IF($AA162=0,"",INDEX('13 - DATA &amp; LISTS'!$AH$30:$AH$436,$AA162))</f>
        <v/>
      </c>
      <c r="K162" s="18" t="str">
        <f>IF($AA162=0,"",INDEX('13 - DATA &amp; LISTS'!$AI$30:$AI$436,$AA162))</f>
        <v/>
      </c>
      <c r="AA162">
        <f>IF(COUNTIF('13 - DATA &amp; LISTS'!$AK$30:$AK$436,"&lt;999999999999")&lt;154,0,MATCH(SMALL('13 - DATA &amp; LISTS'!$AK$30:$AK$436,154),'13 - DATA &amp; LISTS'!$AK$30:$AK$436,0))</f>
        <v>0</v>
      </c>
    </row>
    <row r="163" spans="1:27" ht="63.95" customHeight="1">
      <c r="A163" s="18" t="str">
        <f>IF($AA163=0,"",INDEX('13 - DATA &amp; LISTS'!$Y$30:$Y$436,$AA163))</f>
        <v/>
      </c>
      <c r="B163" s="18" t="str">
        <f>IF($AA163=0,"",INDEX('13 - DATA &amp; LISTS'!$Z$30:$Z$436,$AA163))</f>
        <v/>
      </c>
      <c r="C163" s="18" t="str">
        <f>IF($AA163=0,"",INDEX('13 - DATA &amp; LISTS'!$AA$30:$AA$436,$AA163))</f>
        <v/>
      </c>
      <c r="D163" s="18" t="str">
        <f>IF($AA163=0,"",INDEX('13 - DATA &amp; LISTS'!$AB$30:$AB$436,$AA163))</f>
        <v/>
      </c>
      <c r="E163" s="18" t="str">
        <f>IF($AA163=0,"",INDEX('13 - DATA &amp; LISTS'!$AC$30:$AC$436,$AA163))</f>
        <v/>
      </c>
      <c r="F163" s="18" t="str">
        <f>IF($AA163=0,"",INDEX('13 - DATA &amp; LISTS'!$AD$30:$AD$436,$AA163))</f>
        <v/>
      </c>
      <c r="G163" s="18" t="str">
        <f>IF($AA163=0,"",INDEX('13 - DATA &amp; LISTS'!$AE$30:$AE$436,$AA163))</f>
        <v/>
      </c>
      <c r="H163" s="19" t="str">
        <f>IF($AA163=0,"",INDEX('13 - DATA &amp; LISTS'!$AF$30:$AF$436,$AA163))</f>
        <v/>
      </c>
      <c r="I163" s="18" t="str">
        <f>IF($AA163=0,"",INDEX('13 - DATA &amp; LISTS'!$AG$30:$AG$436,$AA163))</f>
        <v/>
      </c>
      <c r="J163" s="18" t="str">
        <f>IF($AA163=0,"",INDEX('13 - DATA &amp; LISTS'!$AH$30:$AH$436,$AA163))</f>
        <v/>
      </c>
      <c r="K163" s="18" t="str">
        <f>IF($AA163=0,"",INDEX('13 - DATA &amp; LISTS'!$AI$30:$AI$436,$AA163))</f>
        <v/>
      </c>
      <c r="AA163">
        <f>IF(COUNTIF('13 - DATA &amp; LISTS'!$AK$30:$AK$436,"&lt;999999999999")&lt;155,0,MATCH(SMALL('13 - DATA &amp; LISTS'!$AK$30:$AK$436,155),'13 - DATA &amp; LISTS'!$AK$30:$AK$436,0))</f>
        <v>0</v>
      </c>
    </row>
    <row r="164" spans="1:27" ht="63.95" customHeight="1">
      <c r="A164" s="18" t="str">
        <f>IF($AA164=0,"",INDEX('13 - DATA &amp; LISTS'!$Y$30:$Y$436,$AA164))</f>
        <v/>
      </c>
      <c r="B164" s="18" t="str">
        <f>IF($AA164=0,"",INDEX('13 - DATA &amp; LISTS'!$Z$30:$Z$436,$AA164))</f>
        <v/>
      </c>
      <c r="C164" s="18" t="str">
        <f>IF($AA164=0,"",INDEX('13 - DATA &amp; LISTS'!$AA$30:$AA$436,$AA164))</f>
        <v/>
      </c>
      <c r="D164" s="18" t="str">
        <f>IF($AA164=0,"",INDEX('13 - DATA &amp; LISTS'!$AB$30:$AB$436,$AA164))</f>
        <v/>
      </c>
      <c r="E164" s="18" t="str">
        <f>IF($AA164=0,"",INDEX('13 - DATA &amp; LISTS'!$AC$30:$AC$436,$AA164))</f>
        <v/>
      </c>
      <c r="F164" s="18" t="str">
        <f>IF($AA164=0,"",INDEX('13 - DATA &amp; LISTS'!$AD$30:$AD$436,$AA164))</f>
        <v/>
      </c>
      <c r="G164" s="18" t="str">
        <f>IF($AA164=0,"",INDEX('13 - DATA &amp; LISTS'!$AE$30:$AE$436,$AA164))</f>
        <v/>
      </c>
      <c r="H164" s="19" t="str">
        <f>IF($AA164=0,"",INDEX('13 - DATA &amp; LISTS'!$AF$30:$AF$436,$AA164))</f>
        <v/>
      </c>
      <c r="I164" s="18" t="str">
        <f>IF($AA164=0,"",INDEX('13 - DATA &amp; LISTS'!$AG$30:$AG$436,$AA164))</f>
        <v/>
      </c>
      <c r="J164" s="18" t="str">
        <f>IF($AA164=0,"",INDEX('13 - DATA &amp; LISTS'!$AH$30:$AH$436,$AA164))</f>
        <v/>
      </c>
      <c r="K164" s="18" t="str">
        <f>IF($AA164=0,"",INDEX('13 - DATA &amp; LISTS'!$AI$30:$AI$436,$AA164))</f>
        <v/>
      </c>
      <c r="AA164">
        <f>IF(COUNTIF('13 - DATA &amp; LISTS'!$AK$30:$AK$436,"&lt;999999999999")&lt;156,0,MATCH(SMALL('13 - DATA &amp; LISTS'!$AK$30:$AK$436,156),'13 - DATA &amp; LISTS'!$AK$30:$AK$436,0))</f>
        <v>0</v>
      </c>
    </row>
    <row r="165" spans="1:27" ht="63.95" customHeight="1">
      <c r="A165" s="18" t="str">
        <f>IF($AA165=0,"",INDEX('13 - DATA &amp; LISTS'!$Y$30:$Y$436,$AA165))</f>
        <v/>
      </c>
      <c r="B165" s="18" t="str">
        <f>IF($AA165=0,"",INDEX('13 - DATA &amp; LISTS'!$Z$30:$Z$436,$AA165))</f>
        <v/>
      </c>
      <c r="C165" s="18" t="str">
        <f>IF($AA165=0,"",INDEX('13 - DATA &amp; LISTS'!$AA$30:$AA$436,$AA165))</f>
        <v/>
      </c>
      <c r="D165" s="18" t="str">
        <f>IF($AA165=0,"",INDEX('13 - DATA &amp; LISTS'!$AB$30:$AB$436,$AA165))</f>
        <v/>
      </c>
      <c r="E165" s="18" t="str">
        <f>IF($AA165=0,"",INDEX('13 - DATA &amp; LISTS'!$AC$30:$AC$436,$AA165))</f>
        <v/>
      </c>
      <c r="F165" s="18" t="str">
        <f>IF($AA165=0,"",INDEX('13 - DATA &amp; LISTS'!$AD$30:$AD$436,$AA165))</f>
        <v/>
      </c>
      <c r="G165" s="18" t="str">
        <f>IF($AA165=0,"",INDEX('13 - DATA &amp; LISTS'!$AE$30:$AE$436,$AA165))</f>
        <v/>
      </c>
      <c r="H165" s="19" t="str">
        <f>IF($AA165=0,"",INDEX('13 - DATA &amp; LISTS'!$AF$30:$AF$436,$AA165))</f>
        <v/>
      </c>
      <c r="I165" s="18" t="str">
        <f>IF($AA165=0,"",INDEX('13 - DATA &amp; LISTS'!$AG$30:$AG$436,$AA165))</f>
        <v/>
      </c>
      <c r="J165" s="18" t="str">
        <f>IF($AA165=0,"",INDEX('13 - DATA &amp; LISTS'!$AH$30:$AH$436,$AA165))</f>
        <v/>
      </c>
      <c r="K165" s="18" t="str">
        <f>IF($AA165=0,"",INDEX('13 - DATA &amp; LISTS'!$AI$30:$AI$436,$AA165))</f>
        <v/>
      </c>
      <c r="AA165">
        <f>IF(COUNTIF('13 - DATA &amp; LISTS'!$AK$30:$AK$436,"&lt;999999999999")&lt;157,0,MATCH(SMALL('13 - DATA &amp; LISTS'!$AK$30:$AK$436,157),'13 - DATA &amp; LISTS'!$AK$30:$AK$436,0))</f>
        <v>0</v>
      </c>
    </row>
    <row r="166" spans="1:27" ht="63.95" customHeight="1">
      <c r="A166" s="18" t="str">
        <f>IF($AA166=0,"",INDEX('13 - DATA &amp; LISTS'!$Y$30:$Y$436,$AA166))</f>
        <v/>
      </c>
      <c r="B166" s="18" t="str">
        <f>IF($AA166=0,"",INDEX('13 - DATA &amp; LISTS'!$Z$30:$Z$436,$AA166))</f>
        <v/>
      </c>
      <c r="C166" s="18" t="str">
        <f>IF($AA166=0,"",INDEX('13 - DATA &amp; LISTS'!$AA$30:$AA$436,$AA166))</f>
        <v/>
      </c>
      <c r="D166" s="18" t="str">
        <f>IF($AA166=0,"",INDEX('13 - DATA &amp; LISTS'!$AB$30:$AB$436,$AA166))</f>
        <v/>
      </c>
      <c r="E166" s="18" t="str">
        <f>IF($AA166=0,"",INDEX('13 - DATA &amp; LISTS'!$AC$30:$AC$436,$AA166))</f>
        <v/>
      </c>
      <c r="F166" s="18" t="str">
        <f>IF($AA166=0,"",INDEX('13 - DATA &amp; LISTS'!$AD$30:$AD$436,$AA166))</f>
        <v/>
      </c>
      <c r="G166" s="18" t="str">
        <f>IF($AA166=0,"",INDEX('13 - DATA &amp; LISTS'!$AE$30:$AE$436,$AA166))</f>
        <v/>
      </c>
      <c r="H166" s="19" t="str">
        <f>IF($AA166=0,"",INDEX('13 - DATA &amp; LISTS'!$AF$30:$AF$436,$AA166))</f>
        <v/>
      </c>
      <c r="I166" s="18" t="str">
        <f>IF($AA166=0,"",INDEX('13 - DATA &amp; LISTS'!$AG$30:$AG$436,$AA166))</f>
        <v/>
      </c>
      <c r="J166" s="18" t="str">
        <f>IF($AA166=0,"",INDEX('13 - DATA &amp; LISTS'!$AH$30:$AH$436,$AA166))</f>
        <v/>
      </c>
      <c r="K166" s="18" t="str">
        <f>IF($AA166=0,"",INDEX('13 - DATA &amp; LISTS'!$AI$30:$AI$436,$AA166))</f>
        <v/>
      </c>
      <c r="AA166">
        <f>IF(COUNTIF('13 - DATA &amp; LISTS'!$AK$30:$AK$436,"&lt;999999999999")&lt;158,0,MATCH(SMALL('13 - DATA &amp; LISTS'!$AK$30:$AK$436,158),'13 - DATA &amp; LISTS'!$AK$30:$AK$436,0))</f>
        <v>0</v>
      </c>
    </row>
    <row r="167" spans="1:27" ht="63.95" customHeight="1">
      <c r="A167" s="18" t="str">
        <f>IF($AA167=0,"",INDEX('13 - DATA &amp; LISTS'!$Y$30:$Y$436,$AA167))</f>
        <v/>
      </c>
      <c r="B167" s="18" t="str">
        <f>IF($AA167=0,"",INDEX('13 - DATA &amp; LISTS'!$Z$30:$Z$436,$AA167))</f>
        <v/>
      </c>
      <c r="C167" s="18" t="str">
        <f>IF($AA167=0,"",INDEX('13 - DATA &amp; LISTS'!$AA$30:$AA$436,$AA167))</f>
        <v/>
      </c>
      <c r="D167" s="18" t="str">
        <f>IF($AA167=0,"",INDEX('13 - DATA &amp; LISTS'!$AB$30:$AB$436,$AA167))</f>
        <v/>
      </c>
      <c r="E167" s="18" t="str">
        <f>IF($AA167=0,"",INDEX('13 - DATA &amp; LISTS'!$AC$30:$AC$436,$AA167))</f>
        <v/>
      </c>
      <c r="F167" s="18" t="str">
        <f>IF($AA167=0,"",INDEX('13 - DATA &amp; LISTS'!$AD$30:$AD$436,$AA167))</f>
        <v/>
      </c>
      <c r="G167" s="18" t="str">
        <f>IF($AA167=0,"",INDEX('13 - DATA &amp; LISTS'!$AE$30:$AE$436,$AA167))</f>
        <v/>
      </c>
      <c r="H167" s="19" t="str">
        <f>IF($AA167=0,"",INDEX('13 - DATA &amp; LISTS'!$AF$30:$AF$436,$AA167))</f>
        <v/>
      </c>
      <c r="I167" s="18" t="str">
        <f>IF($AA167=0,"",INDEX('13 - DATA &amp; LISTS'!$AG$30:$AG$436,$AA167))</f>
        <v/>
      </c>
      <c r="J167" s="18" t="str">
        <f>IF($AA167=0,"",INDEX('13 - DATA &amp; LISTS'!$AH$30:$AH$436,$AA167))</f>
        <v/>
      </c>
      <c r="K167" s="18" t="str">
        <f>IF($AA167=0,"",INDEX('13 - DATA &amp; LISTS'!$AI$30:$AI$436,$AA167))</f>
        <v/>
      </c>
      <c r="AA167">
        <f>IF(COUNTIF('13 - DATA &amp; LISTS'!$AK$30:$AK$436,"&lt;999999999999")&lt;159,0,MATCH(SMALL('13 - DATA &amp; LISTS'!$AK$30:$AK$436,159),'13 - DATA &amp; LISTS'!$AK$30:$AK$436,0))</f>
        <v>0</v>
      </c>
    </row>
    <row r="168" spans="1:27" ht="63.95" customHeight="1">
      <c r="A168" s="18" t="str">
        <f>IF($AA168=0,"",INDEX('13 - DATA &amp; LISTS'!$Y$30:$Y$436,$AA168))</f>
        <v/>
      </c>
      <c r="B168" s="18" t="str">
        <f>IF($AA168=0,"",INDEX('13 - DATA &amp; LISTS'!$Z$30:$Z$436,$AA168))</f>
        <v/>
      </c>
      <c r="C168" s="18" t="str">
        <f>IF($AA168=0,"",INDEX('13 - DATA &amp; LISTS'!$AA$30:$AA$436,$AA168))</f>
        <v/>
      </c>
      <c r="D168" s="18" t="str">
        <f>IF($AA168=0,"",INDEX('13 - DATA &amp; LISTS'!$AB$30:$AB$436,$AA168))</f>
        <v/>
      </c>
      <c r="E168" s="18" t="str">
        <f>IF($AA168=0,"",INDEX('13 - DATA &amp; LISTS'!$AC$30:$AC$436,$AA168))</f>
        <v/>
      </c>
      <c r="F168" s="18" t="str">
        <f>IF($AA168=0,"",INDEX('13 - DATA &amp; LISTS'!$AD$30:$AD$436,$AA168))</f>
        <v/>
      </c>
      <c r="G168" s="18" t="str">
        <f>IF($AA168=0,"",INDEX('13 - DATA &amp; LISTS'!$AE$30:$AE$436,$AA168))</f>
        <v/>
      </c>
      <c r="H168" s="19" t="str">
        <f>IF($AA168=0,"",INDEX('13 - DATA &amp; LISTS'!$AF$30:$AF$436,$AA168))</f>
        <v/>
      </c>
      <c r="I168" s="18" t="str">
        <f>IF($AA168=0,"",INDEX('13 - DATA &amp; LISTS'!$AG$30:$AG$436,$AA168))</f>
        <v/>
      </c>
      <c r="J168" s="18" t="str">
        <f>IF($AA168=0,"",INDEX('13 - DATA &amp; LISTS'!$AH$30:$AH$436,$AA168))</f>
        <v/>
      </c>
      <c r="K168" s="18" t="str">
        <f>IF($AA168=0,"",INDEX('13 - DATA &amp; LISTS'!$AI$30:$AI$436,$AA168))</f>
        <v/>
      </c>
      <c r="AA168">
        <f>IF(COUNTIF('13 - DATA &amp; LISTS'!$AK$30:$AK$436,"&lt;999999999999")&lt;160,0,MATCH(SMALL('13 - DATA &amp; LISTS'!$AK$30:$AK$436,160),'13 - DATA &amp; LISTS'!$AK$30:$AK$436,0))</f>
        <v>0</v>
      </c>
    </row>
    <row r="169" spans="1:27" ht="63.95" customHeight="1">
      <c r="A169" s="18" t="str">
        <f>IF($AA169=0,"",INDEX('13 - DATA &amp; LISTS'!$Y$30:$Y$436,$AA169))</f>
        <v/>
      </c>
      <c r="B169" s="18" t="str">
        <f>IF($AA169=0,"",INDEX('13 - DATA &amp; LISTS'!$Z$30:$Z$436,$AA169))</f>
        <v/>
      </c>
      <c r="C169" s="18" t="str">
        <f>IF($AA169=0,"",INDEX('13 - DATA &amp; LISTS'!$AA$30:$AA$436,$AA169))</f>
        <v/>
      </c>
      <c r="D169" s="18" t="str">
        <f>IF($AA169=0,"",INDEX('13 - DATA &amp; LISTS'!$AB$30:$AB$436,$AA169))</f>
        <v/>
      </c>
      <c r="E169" s="18" t="str">
        <f>IF($AA169=0,"",INDEX('13 - DATA &amp; LISTS'!$AC$30:$AC$436,$AA169))</f>
        <v/>
      </c>
      <c r="F169" s="18" t="str">
        <f>IF($AA169=0,"",INDEX('13 - DATA &amp; LISTS'!$AD$30:$AD$436,$AA169))</f>
        <v/>
      </c>
      <c r="G169" s="18" t="str">
        <f>IF($AA169=0,"",INDEX('13 - DATA &amp; LISTS'!$AE$30:$AE$436,$AA169))</f>
        <v/>
      </c>
      <c r="H169" s="19" t="str">
        <f>IF($AA169=0,"",INDEX('13 - DATA &amp; LISTS'!$AF$30:$AF$436,$AA169))</f>
        <v/>
      </c>
      <c r="I169" s="18" t="str">
        <f>IF($AA169=0,"",INDEX('13 - DATA &amp; LISTS'!$AG$30:$AG$436,$AA169))</f>
        <v/>
      </c>
      <c r="J169" s="18" t="str">
        <f>IF($AA169=0,"",INDEX('13 - DATA &amp; LISTS'!$AH$30:$AH$436,$AA169))</f>
        <v/>
      </c>
      <c r="K169" s="18" t="str">
        <f>IF($AA169=0,"",INDEX('13 - DATA &amp; LISTS'!$AI$30:$AI$436,$AA169))</f>
        <v/>
      </c>
      <c r="AA169">
        <f>IF(COUNTIF('13 - DATA &amp; LISTS'!$AK$30:$AK$436,"&lt;999999999999")&lt;161,0,MATCH(SMALL('13 - DATA &amp; LISTS'!$AK$30:$AK$436,161),'13 - DATA &amp; LISTS'!$AK$30:$AK$436,0))</f>
        <v>0</v>
      </c>
    </row>
    <row r="170" spans="1:27" ht="63.95" customHeight="1">
      <c r="A170" s="18" t="str">
        <f>IF($AA170=0,"",INDEX('13 - DATA &amp; LISTS'!$Y$30:$Y$436,$AA170))</f>
        <v/>
      </c>
      <c r="B170" s="18" t="str">
        <f>IF($AA170=0,"",INDEX('13 - DATA &amp; LISTS'!$Z$30:$Z$436,$AA170))</f>
        <v/>
      </c>
      <c r="C170" s="18" t="str">
        <f>IF($AA170=0,"",INDEX('13 - DATA &amp; LISTS'!$AA$30:$AA$436,$AA170))</f>
        <v/>
      </c>
      <c r="D170" s="18" t="str">
        <f>IF($AA170=0,"",INDEX('13 - DATA &amp; LISTS'!$AB$30:$AB$436,$AA170))</f>
        <v/>
      </c>
      <c r="E170" s="18" t="str">
        <f>IF($AA170=0,"",INDEX('13 - DATA &amp; LISTS'!$AC$30:$AC$436,$AA170))</f>
        <v/>
      </c>
      <c r="F170" s="18" t="str">
        <f>IF($AA170=0,"",INDEX('13 - DATA &amp; LISTS'!$AD$30:$AD$436,$AA170))</f>
        <v/>
      </c>
      <c r="G170" s="18" t="str">
        <f>IF($AA170=0,"",INDEX('13 - DATA &amp; LISTS'!$AE$30:$AE$436,$AA170))</f>
        <v/>
      </c>
      <c r="H170" s="19" t="str">
        <f>IF($AA170=0,"",INDEX('13 - DATA &amp; LISTS'!$AF$30:$AF$436,$AA170))</f>
        <v/>
      </c>
      <c r="I170" s="18" t="str">
        <f>IF($AA170=0,"",INDEX('13 - DATA &amp; LISTS'!$AG$30:$AG$436,$AA170))</f>
        <v/>
      </c>
      <c r="J170" s="18" t="str">
        <f>IF($AA170=0,"",INDEX('13 - DATA &amp; LISTS'!$AH$30:$AH$436,$AA170))</f>
        <v/>
      </c>
      <c r="K170" s="18" t="str">
        <f>IF($AA170=0,"",INDEX('13 - DATA &amp; LISTS'!$AI$30:$AI$436,$AA170))</f>
        <v/>
      </c>
      <c r="AA170">
        <f>IF(COUNTIF('13 - DATA &amp; LISTS'!$AK$30:$AK$436,"&lt;999999999999")&lt;162,0,MATCH(SMALL('13 - DATA &amp; LISTS'!$AK$30:$AK$436,162),'13 - DATA &amp; LISTS'!$AK$30:$AK$436,0))</f>
        <v>0</v>
      </c>
    </row>
    <row r="171" spans="1:27" ht="63.95" customHeight="1">
      <c r="A171" s="18" t="str">
        <f>IF($AA171=0,"",INDEX('13 - DATA &amp; LISTS'!$Y$30:$Y$436,$AA171))</f>
        <v/>
      </c>
      <c r="B171" s="18" t="str">
        <f>IF($AA171=0,"",INDEX('13 - DATA &amp; LISTS'!$Z$30:$Z$436,$AA171))</f>
        <v/>
      </c>
      <c r="C171" s="18" t="str">
        <f>IF($AA171=0,"",INDEX('13 - DATA &amp; LISTS'!$AA$30:$AA$436,$AA171))</f>
        <v/>
      </c>
      <c r="D171" s="18" t="str">
        <f>IF($AA171=0,"",INDEX('13 - DATA &amp; LISTS'!$AB$30:$AB$436,$AA171))</f>
        <v/>
      </c>
      <c r="E171" s="18" t="str">
        <f>IF($AA171=0,"",INDEX('13 - DATA &amp; LISTS'!$AC$30:$AC$436,$AA171))</f>
        <v/>
      </c>
      <c r="F171" s="18" t="str">
        <f>IF($AA171=0,"",INDEX('13 - DATA &amp; LISTS'!$AD$30:$AD$436,$AA171))</f>
        <v/>
      </c>
      <c r="G171" s="18" t="str">
        <f>IF($AA171=0,"",INDEX('13 - DATA &amp; LISTS'!$AE$30:$AE$436,$AA171))</f>
        <v/>
      </c>
      <c r="H171" s="19" t="str">
        <f>IF($AA171=0,"",INDEX('13 - DATA &amp; LISTS'!$AF$30:$AF$436,$AA171))</f>
        <v/>
      </c>
      <c r="I171" s="18" t="str">
        <f>IF($AA171=0,"",INDEX('13 - DATA &amp; LISTS'!$AG$30:$AG$436,$AA171))</f>
        <v/>
      </c>
      <c r="J171" s="18" t="str">
        <f>IF($AA171=0,"",INDEX('13 - DATA &amp; LISTS'!$AH$30:$AH$436,$AA171))</f>
        <v/>
      </c>
      <c r="K171" s="18" t="str">
        <f>IF($AA171=0,"",INDEX('13 - DATA &amp; LISTS'!$AI$30:$AI$436,$AA171))</f>
        <v/>
      </c>
      <c r="AA171">
        <f>IF(COUNTIF('13 - DATA &amp; LISTS'!$AK$30:$AK$436,"&lt;999999999999")&lt;163,0,MATCH(SMALL('13 - DATA &amp; LISTS'!$AK$30:$AK$436,163),'13 - DATA &amp; LISTS'!$AK$30:$AK$436,0))</f>
        <v>0</v>
      </c>
    </row>
    <row r="172" spans="1:27" ht="63.95" customHeight="1">
      <c r="A172" s="18" t="str">
        <f>IF($AA172=0,"",INDEX('13 - DATA &amp; LISTS'!$Y$30:$Y$436,$AA172))</f>
        <v/>
      </c>
      <c r="B172" s="18" t="str">
        <f>IF($AA172=0,"",INDEX('13 - DATA &amp; LISTS'!$Z$30:$Z$436,$AA172))</f>
        <v/>
      </c>
      <c r="C172" s="18" t="str">
        <f>IF($AA172=0,"",INDEX('13 - DATA &amp; LISTS'!$AA$30:$AA$436,$AA172))</f>
        <v/>
      </c>
      <c r="D172" s="18" t="str">
        <f>IF($AA172=0,"",INDEX('13 - DATA &amp; LISTS'!$AB$30:$AB$436,$AA172))</f>
        <v/>
      </c>
      <c r="E172" s="18" t="str">
        <f>IF($AA172=0,"",INDEX('13 - DATA &amp; LISTS'!$AC$30:$AC$436,$AA172))</f>
        <v/>
      </c>
      <c r="F172" s="18" t="str">
        <f>IF($AA172=0,"",INDEX('13 - DATA &amp; LISTS'!$AD$30:$AD$436,$AA172))</f>
        <v/>
      </c>
      <c r="G172" s="18" t="str">
        <f>IF($AA172=0,"",INDEX('13 - DATA &amp; LISTS'!$AE$30:$AE$436,$AA172))</f>
        <v/>
      </c>
      <c r="H172" s="19" t="str">
        <f>IF($AA172=0,"",INDEX('13 - DATA &amp; LISTS'!$AF$30:$AF$436,$AA172))</f>
        <v/>
      </c>
      <c r="I172" s="18" t="str">
        <f>IF($AA172=0,"",INDEX('13 - DATA &amp; LISTS'!$AG$30:$AG$436,$AA172))</f>
        <v/>
      </c>
      <c r="J172" s="18" t="str">
        <f>IF($AA172=0,"",INDEX('13 - DATA &amp; LISTS'!$AH$30:$AH$436,$AA172))</f>
        <v/>
      </c>
      <c r="K172" s="18" t="str">
        <f>IF($AA172=0,"",INDEX('13 - DATA &amp; LISTS'!$AI$30:$AI$436,$AA172))</f>
        <v/>
      </c>
      <c r="AA172">
        <f>IF(COUNTIF('13 - DATA &amp; LISTS'!$AK$30:$AK$436,"&lt;999999999999")&lt;164,0,MATCH(SMALL('13 - DATA &amp; LISTS'!$AK$30:$AK$436,164),'13 - DATA &amp; LISTS'!$AK$30:$AK$436,0))</f>
        <v>0</v>
      </c>
    </row>
    <row r="173" spans="1:27" ht="63.95" customHeight="1">
      <c r="A173" s="18" t="str">
        <f>IF($AA173=0,"",INDEX('13 - DATA &amp; LISTS'!$Y$30:$Y$436,$AA173))</f>
        <v/>
      </c>
      <c r="B173" s="18" t="str">
        <f>IF($AA173=0,"",INDEX('13 - DATA &amp; LISTS'!$Z$30:$Z$436,$AA173))</f>
        <v/>
      </c>
      <c r="C173" s="18" t="str">
        <f>IF($AA173=0,"",INDEX('13 - DATA &amp; LISTS'!$AA$30:$AA$436,$AA173))</f>
        <v/>
      </c>
      <c r="D173" s="18" t="str">
        <f>IF($AA173=0,"",INDEX('13 - DATA &amp; LISTS'!$AB$30:$AB$436,$AA173))</f>
        <v/>
      </c>
      <c r="E173" s="18" t="str">
        <f>IF($AA173=0,"",INDEX('13 - DATA &amp; LISTS'!$AC$30:$AC$436,$AA173))</f>
        <v/>
      </c>
      <c r="F173" s="18" t="str">
        <f>IF($AA173=0,"",INDEX('13 - DATA &amp; LISTS'!$AD$30:$AD$436,$AA173))</f>
        <v/>
      </c>
      <c r="G173" s="18" t="str">
        <f>IF($AA173=0,"",INDEX('13 - DATA &amp; LISTS'!$AE$30:$AE$436,$AA173))</f>
        <v/>
      </c>
      <c r="H173" s="19" t="str">
        <f>IF($AA173=0,"",INDEX('13 - DATA &amp; LISTS'!$AF$30:$AF$436,$AA173))</f>
        <v/>
      </c>
      <c r="I173" s="18" t="str">
        <f>IF($AA173=0,"",INDEX('13 - DATA &amp; LISTS'!$AG$30:$AG$436,$AA173))</f>
        <v/>
      </c>
      <c r="J173" s="18" t="str">
        <f>IF($AA173=0,"",INDEX('13 - DATA &amp; LISTS'!$AH$30:$AH$436,$AA173))</f>
        <v/>
      </c>
      <c r="K173" s="18" t="str">
        <f>IF($AA173=0,"",INDEX('13 - DATA &amp; LISTS'!$AI$30:$AI$436,$AA173))</f>
        <v/>
      </c>
      <c r="AA173">
        <f>IF(COUNTIF('13 - DATA &amp; LISTS'!$AK$30:$AK$436,"&lt;999999999999")&lt;165,0,MATCH(SMALL('13 - DATA &amp; LISTS'!$AK$30:$AK$436,165),'13 - DATA &amp; LISTS'!$AK$30:$AK$436,0))</f>
        <v>0</v>
      </c>
    </row>
    <row r="174" spans="1:27" ht="63.95" customHeight="1">
      <c r="A174" s="18" t="str">
        <f>IF($AA174=0,"",INDEX('13 - DATA &amp; LISTS'!$Y$30:$Y$436,$AA174))</f>
        <v/>
      </c>
      <c r="B174" s="18" t="str">
        <f>IF($AA174=0,"",INDEX('13 - DATA &amp; LISTS'!$Z$30:$Z$436,$AA174))</f>
        <v/>
      </c>
      <c r="C174" s="18" t="str">
        <f>IF($AA174=0,"",INDEX('13 - DATA &amp; LISTS'!$AA$30:$AA$436,$AA174))</f>
        <v/>
      </c>
      <c r="D174" s="18" t="str">
        <f>IF($AA174=0,"",INDEX('13 - DATA &amp; LISTS'!$AB$30:$AB$436,$AA174))</f>
        <v/>
      </c>
      <c r="E174" s="18" t="str">
        <f>IF($AA174=0,"",INDEX('13 - DATA &amp; LISTS'!$AC$30:$AC$436,$AA174))</f>
        <v/>
      </c>
      <c r="F174" s="18" t="str">
        <f>IF($AA174=0,"",INDEX('13 - DATA &amp; LISTS'!$AD$30:$AD$436,$AA174))</f>
        <v/>
      </c>
      <c r="G174" s="18" t="str">
        <f>IF($AA174=0,"",INDEX('13 - DATA &amp; LISTS'!$AE$30:$AE$436,$AA174))</f>
        <v/>
      </c>
      <c r="H174" s="19" t="str">
        <f>IF($AA174=0,"",INDEX('13 - DATA &amp; LISTS'!$AF$30:$AF$436,$AA174))</f>
        <v/>
      </c>
      <c r="I174" s="18" t="str">
        <f>IF($AA174=0,"",INDEX('13 - DATA &amp; LISTS'!$AG$30:$AG$436,$AA174))</f>
        <v/>
      </c>
      <c r="J174" s="18" t="str">
        <f>IF($AA174=0,"",INDEX('13 - DATA &amp; LISTS'!$AH$30:$AH$436,$AA174))</f>
        <v/>
      </c>
      <c r="K174" s="18" t="str">
        <f>IF($AA174=0,"",INDEX('13 - DATA &amp; LISTS'!$AI$30:$AI$436,$AA174))</f>
        <v/>
      </c>
      <c r="AA174">
        <f>IF(COUNTIF('13 - DATA &amp; LISTS'!$AK$30:$AK$436,"&lt;999999999999")&lt;166,0,MATCH(SMALL('13 - DATA &amp; LISTS'!$AK$30:$AK$436,166),'13 - DATA &amp; LISTS'!$AK$30:$AK$436,0))</f>
        <v>0</v>
      </c>
    </row>
    <row r="175" spans="1:27" ht="63.95" customHeight="1">
      <c r="A175" s="18" t="str">
        <f>IF($AA175=0,"",INDEX('13 - DATA &amp; LISTS'!$Y$30:$Y$436,$AA175))</f>
        <v/>
      </c>
      <c r="B175" s="18" t="str">
        <f>IF($AA175=0,"",INDEX('13 - DATA &amp; LISTS'!$Z$30:$Z$436,$AA175))</f>
        <v/>
      </c>
      <c r="C175" s="18" t="str">
        <f>IF($AA175=0,"",INDEX('13 - DATA &amp; LISTS'!$AA$30:$AA$436,$AA175))</f>
        <v/>
      </c>
      <c r="D175" s="18" t="str">
        <f>IF($AA175=0,"",INDEX('13 - DATA &amp; LISTS'!$AB$30:$AB$436,$AA175))</f>
        <v/>
      </c>
      <c r="E175" s="18" t="str">
        <f>IF($AA175=0,"",INDEX('13 - DATA &amp; LISTS'!$AC$30:$AC$436,$AA175))</f>
        <v/>
      </c>
      <c r="F175" s="18" t="str">
        <f>IF($AA175=0,"",INDEX('13 - DATA &amp; LISTS'!$AD$30:$AD$436,$AA175))</f>
        <v/>
      </c>
      <c r="G175" s="18" t="str">
        <f>IF($AA175=0,"",INDEX('13 - DATA &amp; LISTS'!$AE$30:$AE$436,$AA175))</f>
        <v/>
      </c>
      <c r="H175" s="19" t="str">
        <f>IF($AA175=0,"",INDEX('13 - DATA &amp; LISTS'!$AF$30:$AF$436,$AA175))</f>
        <v/>
      </c>
      <c r="I175" s="18" t="str">
        <f>IF($AA175=0,"",INDEX('13 - DATA &amp; LISTS'!$AG$30:$AG$436,$AA175))</f>
        <v/>
      </c>
      <c r="J175" s="18" t="str">
        <f>IF($AA175=0,"",INDEX('13 - DATA &amp; LISTS'!$AH$30:$AH$436,$AA175))</f>
        <v/>
      </c>
      <c r="K175" s="18" t="str">
        <f>IF($AA175=0,"",INDEX('13 - DATA &amp; LISTS'!$AI$30:$AI$436,$AA175))</f>
        <v/>
      </c>
      <c r="AA175">
        <f>IF(COUNTIF('13 - DATA &amp; LISTS'!$AK$30:$AK$436,"&lt;999999999999")&lt;167,0,MATCH(SMALL('13 - DATA &amp; LISTS'!$AK$30:$AK$436,167),'13 - DATA &amp; LISTS'!$AK$30:$AK$436,0))</f>
        <v>0</v>
      </c>
    </row>
    <row r="176" spans="1:27" ht="63.95" customHeight="1">
      <c r="A176" s="18" t="str">
        <f>IF($AA176=0,"",INDEX('13 - DATA &amp; LISTS'!$Y$30:$Y$436,$AA176))</f>
        <v/>
      </c>
      <c r="B176" s="18" t="str">
        <f>IF($AA176=0,"",INDEX('13 - DATA &amp; LISTS'!$Z$30:$Z$436,$AA176))</f>
        <v/>
      </c>
      <c r="C176" s="18" t="str">
        <f>IF($AA176=0,"",INDEX('13 - DATA &amp; LISTS'!$AA$30:$AA$436,$AA176))</f>
        <v/>
      </c>
      <c r="D176" s="18" t="str">
        <f>IF($AA176=0,"",INDEX('13 - DATA &amp; LISTS'!$AB$30:$AB$436,$AA176))</f>
        <v/>
      </c>
      <c r="E176" s="18" t="str">
        <f>IF($AA176=0,"",INDEX('13 - DATA &amp; LISTS'!$AC$30:$AC$436,$AA176))</f>
        <v/>
      </c>
      <c r="F176" s="18" t="str">
        <f>IF($AA176=0,"",INDEX('13 - DATA &amp; LISTS'!$AD$30:$AD$436,$AA176))</f>
        <v/>
      </c>
      <c r="G176" s="18" t="str">
        <f>IF($AA176=0,"",INDEX('13 - DATA &amp; LISTS'!$AE$30:$AE$436,$AA176))</f>
        <v/>
      </c>
      <c r="H176" s="19" t="str">
        <f>IF($AA176=0,"",INDEX('13 - DATA &amp; LISTS'!$AF$30:$AF$436,$AA176))</f>
        <v/>
      </c>
      <c r="I176" s="18" t="str">
        <f>IF($AA176=0,"",INDEX('13 - DATA &amp; LISTS'!$AG$30:$AG$436,$AA176))</f>
        <v/>
      </c>
      <c r="J176" s="18" t="str">
        <f>IF($AA176=0,"",INDEX('13 - DATA &amp; LISTS'!$AH$30:$AH$436,$AA176))</f>
        <v/>
      </c>
      <c r="K176" s="18" t="str">
        <f>IF($AA176=0,"",INDEX('13 - DATA &amp; LISTS'!$AI$30:$AI$436,$AA176))</f>
        <v/>
      </c>
      <c r="AA176">
        <f>IF(COUNTIF('13 - DATA &amp; LISTS'!$AK$30:$AK$436,"&lt;999999999999")&lt;168,0,MATCH(SMALL('13 - DATA &amp; LISTS'!$AK$30:$AK$436,168),'13 - DATA &amp; LISTS'!$AK$30:$AK$436,0))</f>
        <v>0</v>
      </c>
    </row>
    <row r="177" spans="1:27" ht="63.95" customHeight="1">
      <c r="A177" s="18" t="str">
        <f>IF($AA177=0,"",INDEX('13 - DATA &amp; LISTS'!$Y$30:$Y$436,$AA177))</f>
        <v/>
      </c>
      <c r="B177" s="18" t="str">
        <f>IF($AA177=0,"",INDEX('13 - DATA &amp; LISTS'!$Z$30:$Z$436,$AA177))</f>
        <v/>
      </c>
      <c r="C177" s="18" t="str">
        <f>IF($AA177=0,"",INDEX('13 - DATA &amp; LISTS'!$AA$30:$AA$436,$AA177))</f>
        <v/>
      </c>
      <c r="D177" s="18" t="str">
        <f>IF($AA177=0,"",INDEX('13 - DATA &amp; LISTS'!$AB$30:$AB$436,$AA177))</f>
        <v/>
      </c>
      <c r="E177" s="18" t="str">
        <f>IF($AA177=0,"",INDEX('13 - DATA &amp; LISTS'!$AC$30:$AC$436,$AA177))</f>
        <v/>
      </c>
      <c r="F177" s="18" t="str">
        <f>IF($AA177=0,"",INDEX('13 - DATA &amp; LISTS'!$AD$30:$AD$436,$AA177))</f>
        <v/>
      </c>
      <c r="G177" s="18" t="str">
        <f>IF($AA177=0,"",INDEX('13 - DATA &amp; LISTS'!$AE$30:$AE$436,$AA177))</f>
        <v/>
      </c>
      <c r="H177" s="19" t="str">
        <f>IF($AA177=0,"",INDEX('13 - DATA &amp; LISTS'!$AF$30:$AF$436,$AA177))</f>
        <v/>
      </c>
      <c r="I177" s="18" t="str">
        <f>IF($AA177=0,"",INDEX('13 - DATA &amp; LISTS'!$AG$30:$AG$436,$AA177))</f>
        <v/>
      </c>
      <c r="J177" s="18" t="str">
        <f>IF($AA177=0,"",INDEX('13 - DATA &amp; LISTS'!$AH$30:$AH$436,$AA177))</f>
        <v/>
      </c>
      <c r="K177" s="18" t="str">
        <f>IF($AA177=0,"",INDEX('13 - DATA &amp; LISTS'!$AI$30:$AI$436,$AA177))</f>
        <v/>
      </c>
      <c r="AA177">
        <f>IF(COUNTIF('13 - DATA &amp; LISTS'!$AK$30:$AK$436,"&lt;999999999999")&lt;169,0,MATCH(SMALL('13 - DATA &amp; LISTS'!$AK$30:$AK$436,169),'13 - DATA &amp; LISTS'!$AK$30:$AK$436,0))</f>
        <v>0</v>
      </c>
    </row>
    <row r="178" spans="1:27" ht="63.95" customHeight="1">
      <c r="A178" s="18" t="str">
        <f>IF($AA178=0,"",INDEX('13 - DATA &amp; LISTS'!$Y$30:$Y$436,$AA178))</f>
        <v/>
      </c>
      <c r="B178" s="18" t="str">
        <f>IF($AA178=0,"",INDEX('13 - DATA &amp; LISTS'!$Z$30:$Z$436,$AA178))</f>
        <v/>
      </c>
      <c r="C178" s="18" t="str">
        <f>IF($AA178=0,"",INDEX('13 - DATA &amp; LISTS'!$AA$30:$AA$436,$AA178))</f>
        <v/>
      </c>
      <c r="D178" s="18" t="str">
        <f>IF($AA178=0,"",INDEX('13 - DATA &amp; LISTS'!$AB$30:$AB$436,$AA178))</f>
        <v/>
      </c>
      <c r="E178" s="18" t="str">
        <f>IF($AA178=0,"",INDEX('13 - DATA &amp; LISTS'!$AC$30:$AC$436,$AA178))</f>
        <v/>
      </c>
      <c r="F178" s="18" t="str">
        <f>IF($AA178=0,"",INDEX('13 - DATA &amp; LISTS'!$AD$30:$AD$436,$AA178))</f>
        <v/>
      </c>
      <c r="G178" s="18" t="str">
        <f>IF($AA178=0,"",INDEX('13 - DATA &amp; LISTS'!$AE$30:$AE$436,$AA178))</f>
        <v/>
      </c>
      <c r="H178" s="19" t="str">
        <f>IF($AA178=0,"",INDEX('13 - DATA &amp; LISTS'!$AF$30:$AF$436,$AA178))</f>
        <v/>
      </c>
      <c r="I178" s="18" t="str">
        <f>IF($AA178=0,"",INDEX('13 - DATA &amp; LISTS'!$AG$30:$AG$436,$AA178))</f>
        <v/>
      </c>
      <c r="J178" s="18" t="str">
        <f>IF($AA178=0,"",INDEX('13 - DATA &amp; LISTS'!$AH$30:$AH$436,$AA178))</f>
        <v/>
      </c>
      <c r="K178" s="18" t="str">
        <f>IF($AA178=0,"",INDEX('13 - DATA &amp; LISTS'!$AI$30:$AI$436,$AA178))</f>
        <v/>
      </c>
      <c r="AA178">
        <f>IF(COUNTIF('13 - DATA &amp; LISTS'!$AK$30:$AK$436,"&lt;999999999999")&lt;170,0,MATCH(SMALL('13 - DATA &amp; LISTS'!$AK$30:$AK$436,170),'13 - DATA &amp; LISTS'!$AK$30:$AK$436,0))</f>
        <v>0</v>
      </c>
    </row>
    <row r="179" spans="1:27" ht="63.95" customHeight="1">
      <c r="A179" s="18" t="str">
        <f>IF($AA179=0,"",INDEX('13 - DATA &amp; LISTS'!$Y$30:$Y$436,$AA179))</f>
        <v/>
      </c>
      <c r="B179" s="18" t="str">
        <f>IF($AA179=0,"",INDEX('13 - DATA &amp; LISTS'!$Z$30:$Z$436,$AA179))</f>
        <v/>
      </c>
      <c r="C179" s="18" t="str">
        <f>IF($AA179=0,"",INDEX('13 - DATA &amp; LISTS'!$AA$30:$AA$436,$AA179))</f>
        <v/>
      </c>
      <c r="D179" s="18" t="str">
        <f>IF($AA179=0,"",INDEX('13 - DATA &amp; LISTS'!$AB$30:$AB$436,$AA179))</f>
        <v/>
      </c>
      <c r="E179" s="18" t="str">
        <f>IF($AA179=0,"",INDEX('13 - DATA &amp; LISTS'!$AC$30:$AC$436,$AA179))</f>
        <v/>
      </c>
      <c r="F179" s="18" t="str">
        <f>IF($AA179=0,"",INDEX('13 - DATA &amp; LISTS'!$AD$30:$AD$436,$AA179))</f>
        <v/>
      </c>
      <c r="G179" s="18" t="str">
        <f>IF($AA179=0,"",INDEX('13 - DATA &amp; LISTS'!$AE$30:$AE$436,$AA179))</f>
        <v/>
      </c>
      <c r="H179" s="19" t="str">
        <f>IF($AA179=0,"",INDEX('13 - DATA &amp; LISTS'!$AF$30:$AF$436,$AA179))</f>
        <v/>
      </c>
      <c r="I179" s="18" t="str">
        <f>IF($AA179=0,"",INDEX('13 - DATA &amp; LISTS'!$AG$30:$AG$436,$AA179))</f>
        <v/>
      </c>
      <c r="J179" s="18" t="str">
        <f>IF($AA179=0,"",INDEX('13 - DATA &amp; LISTS'!$AH$30:$AH$436,$AA179))</f>
        <v/>
      </c>
      <c r="K179" s="18" t="str">
        <f>IF($AA179=0,"",INDEX('13 - DATA &amp; LISTS'!$AI$30:$AI$436,$AA179))</f>
        <v/>
      </c>
      <c r="AA179">
        <f>IF(COUNTIF('13 - DATA &amp; LISTS'!$AK$30:$AK$436,"&lt;999999999999")&lt;171,0,MATCH(SMALL('13 - DATA &amp; LISTS'!$AK$30:$AK$436,171),'13 - DATA &amp; LISTS'!$AK$30:$AK$436,0))</f>
        <v>0</v>
      </c>
    </row>
    <row r="180" spans="1:27" ht="63.95" customHeight="1">
      <c r="A180" s="18" t="str">
        <f>IF($AA180=0,"",INDEX('13 - DATA &amp; LISTS'!$Y$30:$Y$436,$AA180))</f>
        <v/>
      </c>
      <c r="B180" s="18" t="str">
        <f>IF($AA180=0,"",INDEX('13 - DATA &amp; LISTS'!$Z$30:$Z$436,$AA180))</f>
        <v/>
      </c>
      <c r="C180" s="18" t="str">
        <f>IF($AA180=0,"",INDEX('13 - DATA &amp; LISTS'!$AA$30:$AA$436,$AA180))</f>
        <v/>
      </c>
      <c r="D180" s="18" t="str">
        <f>IF($AA180=0,"",INDEX('13 - DATA &amp; LISTS'!$AB$30:$AB$436,$AA180))</f>
        <v/>
      </c>
      <c r="E180" s="18" t="str">
        <f>IF($AA180=0,"",INDEX('13 - DATA &amp; LISTS'!$AC$30:$AC$436,$AA180))</f>
        <v/>
      </c>
      <c r="F180" s="18" t="str">
        <f>IF($AA180=0,"",INDEX('13 - DATA &amp; LISTS'!$AD$30:$AD$436,$AA180))</f>
        <v/>
      </c>
      <c r="G180" s="18" t="str">
        <f>IF($AA180=0,"",INDEX('13 - DATA &amp; LISTS'!$AE$30:$AE$436,$AA180))</f>
        <v/>
      </c>
      <c r="H180" s="19" t="str">
        <f>IF($AA180=0,"",INDEX('13 - DATA &amp; LISTS'!$AF$30:$AF$436,$AA180))</f>
        <v/>
      </c>
      <c r="I180" s="18" t="str">
        <f>IF($AA180=0,"",INDEX('13 - DATA &amp; LISTS'!$AG$30:$AG$436,$AA180))</f>
        <v/>
      </c>
      <c r="J180" s="18" t="str">
        <f>IF($AA180=0,"",INDEX('13 - DATA &amp; LISTS'!$AH$30:$AH$436,$AA180))</f>
        <v/>
      </c>
      <c r="K180" s="18" t="str">
        <f>IF($AA180=0,"",INDEX('13 - DATA &amp; LISTS'!$AI$30:$AI$436,$AA180))</f>
        <v/>
      </c>
      <c r="AA180">
        <f>IF(COUNTIF('13 - DATA &amp; LISTS'!$AK$30:$AK$436,"&lt;999999999999")&lt;172,0,MATCH(SMALL('13 - DATA &amp; LISTS'!$AK$30:$AK$436,172),'13 - DATA &amp; LISTS'!$AK$30:$AK$436,0))</f>
        <v>0</v>
      </c>
    </row>
    <row r="181" spans="1:27" ht="63.95" customHeight="1">
      <c r="A181" s="18" t="str">
        <f>IF($AA181=0,"",INDEX('13 - DATA &amp; LISTS'!$Y$30:$Y$436,$AA181))</f>
        <v/>
      </c>
      <c r="B181" s="18" t="str">
        <f>IF($AA181=0,"",INDEX('13 - DATA &amp; LISTS'!$Z$30:$Z$436,$AA181))</f>
        <v/>
      </c>
      <c r="C181" s="18" t="str">
        <f>IF($AA181=0,"",INDEX('13 - DATA &amp; LISTS'!$AA$30:$AA$436,$AA181))</f>
        <v/>
      </c>
      <c r="D181" s="18" t="str">
        <f>IF($AA181=0,"",INDEX('13 - DATA &amp; LISTS'!$AB$30:$AB$436,$AA181))</f>
        <v/>
      </c>
      <c r="E181" s="18" t="str">
        <f>IF($AA181=0,"",INDEX('13 - DATA &amp; LISTS'!$AC$30:$AC$436,$AA181))</f>
        <v/>
      </c>
      <c r="F181" s="18" t="str">
        <f>IF($AA181=0,"",INDEX('13 - DATA &amp; LISTS'!$AD$30:$AD$436,$AA181))</f>
        <v/>
      </c>
      <c r="G181" s="18" t="str">
        <f>IF($AA181=0,"",INDEX('13 - DATA &amp; LISTS'!$AE$30:$AE$436,$AA181))</f>
        <v/>
      </c>
      <c r="H181" s="19" t="str">
        <f>IF($AA181=0,"",INDEX('13 - DATA &amp; LISTS'!$AF$30:$AF$436,$AA181))</f>
        <v/>
      </c>
      <c r="I181" s="18" t="str">
        <f>IF($AA181=0,"",INDEX('13 - DATA &amp; LISTS'!$AG$30:$AG$436,$AA181))</f>
        <v/>
      </c>
      <c r="J181" s="18" t="str">
        <f>IF($AA181=0,"",INDEX('13 - DATA &amp; LISTS'!$AH$30:$AH$436,$AA181))</f>
        <v/>
      </c>
      <c r="K181" s="18" t="str">
        <f>IF($AA181=0,"",INDEX('13 - DATA &amp; LISTS'!$AI$30:$AI$436,$AA181))</f>
        <v/>
      </c>
      <c r="AA181">
        <f>IF(COUNTIF('13 - DATA &amp; LISTS'!$AK$30:$AK$436,"&lt;999999999999")&lt;173,0,MATCH(SMALL('13 - DATA &amp; LISTS'!$AK$30:$AK$436,173),'13 - DATA &amp; LISTS'!$AK$30:$AK$436,0))</f>
        <v>0</v>
      </c>
    </row>
    <row r="182" spans="1:27" ht="63.95" customHeight="1">
      <c r="A182" s="18" t="str">
        <f>IF($AA182=0,"",INDEX('13 - DATA &amp; LISTS'!$Y$30:$Y$436,$AA182))</f>
        <v/>
      </c>
      <c r="B182" s="18" t="str">
        <f>IF($AA182=0,"",INDEX('13 - DATA &amp; LISTS'!$Z$30:$Z$436,$AA182))</f>
        <v/>
      </c>
      <c r="C182" s="18" t="str">
        <f>IF($AA182=0,"",INDEX('13 - DATA &amp; LISTS'!$AA$30:$AA$436,$AA182))</f>
        <v/>
      </c>
      <c r="D182" s="18" t="str">
        <f>IF($AA182=0,"",INDEX('13 - DATA &amp; LISTS'!$AB$30:$AB$436,$AA182))</f>
        <v/>
      </c>
      <c r="E182" s="18" t="str">
        <f>IF($AA182=0,"",INDEX('13 - DATA &amp; LISTS'!$AC$30:$AC$436,$AA182))</f>
        <v/>
      </c>
      <c r="F182" s="18" t="str">
        <f>IF($AA182=0,"",INDEX('13 - DATA &amp; LISTS'!$AD$30:$AD$436,$AA182))</f>
        <v/>
      </c>
      <c r="G182" s="18" t="str">
        <f>IF($AA182=0,"",INDEX('13 - DATA &amp; LISTS'!$AE$30:$AE$436,$AA182))</f>
        <v/>
      </c>
      <c r="H182" s="19" t="str">
        <f>IF($AA182=0,"",INDEX('13 - DATA &amp; LISTS'!$AF$30:$AF$436,$AA182))</f>
        <v/>
      </c>
      <c r="I182" s="18" t="str">
        <f>IF($AA182=0,"",INDEX('13 - DATA &amp; LISTS'!$AG$30:$AG$436,$AA182))</f>
        <v/>
      </c>
      <c r="J182" s="18" t="str">
        <f>IF($AA182=0,"",INDEX('13 - DATA &amp; LISTS'!$AH$30:$AH$436,$AA182))</f>
        <v/>
      </c>
      <c r="K182" s="18" t="str">
        <f>IF($AA182=0,"",INDEX('13 - DATA &amp; LISTS'!$AI$30:$AI$436,$AA182))</f>
        <v/>
      </c>
      <c r="AA182">
        <f>IF(COUNTIF('13 - DATA &amp; LISTS'!$AK$30:$AK$436,"&lt;999999999999")&lt;174,0,MATCH(SMALL('13 - DATA &amp; LISTS'!$AK$30:$AK$436,174),'13 - DATA &amp; LISTS'!$AK$30:$AK$436,0))</f>
        <v>0</v>
      </c>
    </row>
    <row r="183" spans="1:27" ht="63.95" customHeight="1">
      <c r="A183" s="18" t="str">
        <f>IF($AA183=0,"",INDEX('13 - DATA &amp; LISTS'!$Y$30:$Y$436,$AA183))</f>
        <v/>
      </c>
      <c r="B183" s="18" t="str">
        <f>IF($AA183=0,"",INDEX('13 - DATA &amp; LISTS'!$Z$30:$Z$436,$AA183))</f>
        <v/>
      </c>
      <c r="C183" s="18" t="str">
        <f>IF($AA183=0,"",INDEX('13 - DATA &amp; LISTS'!$AA$30:$AA$436,$AA183))</f>
        <v/>
      </c>
      <c r="D183" s="18" t="str">
        <f>IF($AA183=0,"",INDEX('13 - DATA &amp; LISTS'!$AB$30:$AB$436,$AA183))</f>
        <v/>
      </c>
      <c r="E183" s="18" t="str">
        <f>IF($AA183=0,"",INDEX('13 - DATA &amp; LISTS'!$AC$30:$AC$436,$AA183))</f>
        <v/>
      </c>
      <c r="F183" s="18" t="str">
        <f>IF($AA183=0,"",INDEX('13 - DATA &amp; LISTS'!$AD$30:$AD$436,$AA183))</f>
        <v/>
      </c>
      <c r="G183" s="18" t="str">
        <f>IF($AA183=0,"",INDEX('13 - DATA &amp; LISTS'!$AE$30:$AE$436,$AA183))</f>
        <v/>
      </c>
      <c r="H183" s="19" t="str">
        <f>IF($AA183=0,"",INDEX('13 - DATA &amp; LISTS'!$AF$30:$AF$436,$AA183))</f>
        <v/>
      </c>
      <c r="I183" s="18" t="str">
        <f>IF($AA183=0,"",INDEX('13 - DATA &amp; LISTS'!$AG$30:$AG$436,$AA183))</f>
        <v/>
      </c>
      <c r="J183" s="18" t="str">
        <f>IF($AA183=0,"",INDEX('13 - DATA &amp; LISTS'!$AH$30:$AH$436,$AA183))</f>
        <v/>
      </c>
      <c r="K183" s="18" t="str">
        <f>IF($AA183=0,"",INDEX('13 - DATA &amp; LISTS'!$AI$30:$AI$436,$AA183))</f>
        <v/>
      </c>
      <c r="AA183">
        <f>IF(COUNTIF('13 - DATA &amp; LISTS'!$AK$30:$AK$436,"&lt;999999999999")&lt;175,0,MATCH(SMALL('13 - DATA &amp; LISTS'!$AK$30:$AK$436,175),'13 - DATA &amp; LISTS'!$AK$30:$AK$436,0))</f>
        <v>0</v>
      </c>
    </row>
    <row r="184" spans="1:27" ht="63.95" customHeight="1">
      <c r="A184" s="18" t="str">
        <f>IF($AA184=0,"",INDEX('13 - DATA &amp; LISTS'!$Y$30:$Y$436,$AA184))</f>
        <v/>
      </c>
      <c r="B184" s="18" t="str">
        <f>IF($AA184=0,"",INDEX('13 - DATA &amp; LISTS'!$Z$30:$Z$436,$AA184))</f>
        <v/>
      </c>
      <c r="C184" s="18" t="str">
        <f>IF($AA184=0,"",INDEX('13 - DATA &amp; LISTS'!$AA$30:$AA$436,$AA184))</f>
        <v/>
      </c>
      <c r="D184" s="18" t="str">
        <f>IF($AA184=0,"",INDEX('13 - DATA &amp; LISTS'!$AB$30:$AB$436,$AA184))</f>
        <v/>
      </c>
      <c r="E184" s="18" t="str">
        <f>IF($AA184=0,"",INDEX('13 - DATA &amp; LISTS'!$AC$30:$AC$436,$AA184))</f>
        <v/>
      </c>
      <c r="F184" s="18" t="str">
        <f>IF($AA184=0,"",INDEX('13 - DATA &amp; LISTS'!$AD$30:$AD$436,$AA184))</f>
        <v/>
      </c>
      <c r="G184" s="18" t="str">
        <f>IF($AA184=0,"",INDEX('13 - DATA &amp; LISTS'!$AE$30:$AE$436,$AA184))</f>
        <v/>
      </c>
      <c r="H184" s="19" t="str">
        <f>IF($AA184=0,"",INDEX('13 - DATA &amp; LISTS'!$AF$30:$AF$436,$AA184))</f>
        <v/>
      </c>
      <c r="I184" s="18" t="str">
        <f>IF($AA184=0,"",INDEX('13 - DATA &amp; LISTS'!$AG$30:$AG$436,$AA184))</f>
        <v/>
      </c>
      <c r="J184" s="18" t="str">
        <f>IF($AA184=0,"",INDEX('13 - DATA &amp; LISTS'!$AH$30:$AH$436,$AA184))</f>
        <v/>
      </c>
      <c r="K184" s="18" t="str">
        <f>IF($AA184=0,"",INDEX('13 - DATA &amp; LISTS'!$AI$30:$AI$436,$AA184))</f>
        <v/>
      </c>
      <c r="AA184">
        <f>IF(COUNTIF('13 - DATA &amp; LISTS'!$AK$30:$AK$436,"&lt;999999999999")&lt;176,0,MATCH(SMALL('13 - DATA &amp; LISTS'!$AK$30:$AK$436,176),'13 - DATA &amp; LISTS'!$AK$30:$AK$436,0))</f>
        <v>0</v>
      </c>
    </row>
    <row r="185" spans="1:27" ht="63.95" customHeight="1">
      <c r="A185" s="18" t="str">
        <f>IF($AA185=0,"",INDEX('13 - DATA &amp; LISTS'!$Y$30:$Y$436,$AA185))</f>
        <v/>
      </c>
      <c r="B185" s="18" t="str">
        <f>IF($AA185=0,"",INDEX('13 - DATA &amp; LISTS'!$Z$30:$Z$436,$AA185))</f>
        <v/>
      </c>
      <c r="C185" s="18" t="str">
        <f>IF($AA185=0,"",INDEX('13 - DATA &amp; LISTS'!$AA$30:$AA$436,$AA185))</f>
        <v/>
      </c>
      <c r="D185" s="18" t="str">
        <f>IF($AA185=0,"",INDEX('13 - DATA &amp; LISTS'!$AB$30:$AB$436,$AA185))</f>
        <v/>
      </c>
      <c r="E185" s="18" t="str">
        <f>IF($AA185=0,"",INDEX('13 - DATA &amp; LISTS'!$AC$30:$AC$436,$AA185))</f>
        <v/>
      </c>
      <c r="F185" s="18" t="str">
        <f>IF($AA185=0,"",INDEX('13 - DATA &amp; LISTS'!$AD$30:$AD$436,$AA185))</f>
        <v/>
      </c>
      <c r="G185" s="18" t="str">
        <f>IF($AA185=0,"",INDEX('13 - DATA &amp; LISTS'!$AE$30:$AE$436,$AA185))</f>
        <v/>
      </c>
      <c r="H185" s="19" t="str">
        <f>IF($AA185=0,"",INDEX('13 - DATA &amp; LISTS'!$AF$30:$AF$436,$AA185))</f>
        <v/>
      </c>
      <c r="I185" s="18" t="str">
        <f>IF($AA185=0,"",INDEX('13 - DATA &amp; LISTS'!$AG$30:$AG$436,$AA185))</f>
        <v/>
      </c>
      <c r="J185" s="18" t="str">
        <f>IF($AA185=0,"",INDEX('13 - DATA &amp; LISTS'!$AH$30:$AH$436,$AA185))</f>
        <v/>
      </c>
      <c r="K185" s="18" t="str">
        <f>IF($AA185=0,"",INDEX('13 - DATA &amp; LISTS'!$AI$30:$AI$436,$AA185))</f>
        <v/>
      </c>
      <c r="AA185">
        <f>IF(COUNTIF('13 - DATA &amp; LISTS'!$AK$30:$AK$436,"&lt;999999999999")&lt;177,0,MATCH(SMALL('13 - DATA &amp; LISTS'!$AK$30:$AK$436,177),'13 - DATA &amp; LISTS'!$AK$30:$AK$436,0))</f>
        <v>0</v>
      </c>
    </row>
    <row r="186" spans="1:27" ht="63.95" customHeight="1">
      <c r="A186" s="18" t="str">
        <f>IF($AA186=0,"",INDEX('13 - DATA &amp; LISTS'!$Y$30:$Y$436,$AA186))</f>
        <v/>
      </c>
      <c r="B186" s="18" t="str">
        <f>IF($AA186=0,"",INDEX('13 - DATA &amp; LISTS'!$Z$30:$Z$436,$AA186))</f>
        <v/>
      </c>
      <c r="C186" s="18" t="str">
        <f>IF($AA186=0,"",INDEX('13 - DATA &amp; LISTS'!$AA$30:$AA$436,$AA186))</f>
        <v/>
      </c>
      <c r="D186" s="18" t="str">
        <f>IF($AA186=0,"",INDEX('13 - DATA &amp; LISTS'!$AB$30:$AB$436,$AA186))</f>
        <v/>
      </c>
      <c r="E186" s="18" t="str">
        <f>IF($AA186=0,"",INDEX('13 - DATA &amp; LISTS'!$AC$30:$AC$436,$AA186))</f>
        <v/>
      </c>
      <c r="F186" s="18" t="str">
        <f>IF($AA186=0,"",INDEX('13 - DATA &amp; LISTS'!$AD$30:$AD$436,$AA186))</f>
        <v/>
      </c>
      <c r="G186" s="18" t="str">
        <f>IF($AA186=0,"",INDEX('13 - DATA &amp; LISTS'!$AE$30:$AE$436,$AA186))</f>
        <v/>
      </c>
      <c r="H186" s="19" t="str">
        <f>IF($AA186=0,"",INDEX('13 - DATA &amp; LISTS'!$AF$30:$AF$436,$AA186))</f>
        <v/>
      </c>
      <c r="I186" s="18" t="str">
        <f>IF($AA186=0,"",INDEX('13 - DATA &amp; LISTS'!$AG$30:$AG$436,$AA186))</f>
        <v/>
      </c>
      <c r="J186" s="18" t="str">
        <f>IF($AA186=0,"",INDEX('13 - DATA &amp; LISTS'!$AH$30:$AH$436,$AA186))</f>
        <v/>
      </c>
      <c r="K186" s="18" t="str">
        <f>IF($AA186=0,"",INDEX('13 - DATA &amp; LISTS'!$AI$30:$AI$436,$AA186))</f>
        <v/>
      </c>
      <c r="AA186">
        <f>IF(COUNTIF('13 - DATA &amp; LISTS'!$AK$30:$AK$436,"&lt;999999999999")&lt;178,0,MATCH(SMALL('13 - DATA &amp; LISTS'!$AK$30:$AK$436,178),'13 - DATA &amp; LISTS'!$AK$30:$AK$436,0))</f>
        <v>0</v>
      </c>
    </row>
    <row r="187" spans="1:27" ht="63.95" customHeight="1">
      <c r="A187" s="18" t="str">
        <f>IF($AA187=0,"",INDEX('13 - DATA &amp; LISTS'!$Y$30:$Y$436,$AA187))</f>
        <v/>
      </c>
      <c r="B187" s="18" t="str">
        <f>IF($AA187=0,"",INDEX('13 - DATA &amp; LISTS'!$Z$30:$Z$436,$AA187))</f>
        <v/>
      </c>
      <c r="C187" s="18" t="str">
        <f>IF($AA187=0,"",INDEX('13 - DATA &amp; LISTS'!$AA$30:$AA$436,$AA187))</f>
        <v/>
      </c>
      <c r="D187" s="18" t="str">
        <f>IF($AA187=0,"",INDEX('13 - DATA &amp; LISTS'!$AB$30:$AB$436,$AA187))</f>
        <v/>
      </c>
      <c r="E187" s="18" t="str">
        <f>IF($AA187=0,"",INDEX('13 - DATA &amp; LISTS'!$AC$30:$AC$436,$AA187))</f>
        <v/>
      </c>
      <c r="F187" s="18" t="str">
        <f>IF($AA187=0,"",INDEX('13 - DATA &amp; LISTS'!$AD$30:$AD$436,$AA187))</f>
        <v/>
      </c>
      <c r="G187" s="18" t="str">
        <f>IF($AA187=0,"",INDEX('13 - DATA &amp; LISTS'!$AE$30:$AE$436,$AA187))</f>
        <v/>
      </c>
      <c r="H187" s="19" t="str">
        <f>IF($AA187=0,"",INDEX('13 - DATA &amp; LISTS'!$AF$30:$AF$436,$AA187))</f>
        <v/>
      </c>
      <c r="I187" s="18" t="str">
        <f>IF($AA187=0,"",INDEX('13 - DATA &amp; LISTS'!$AG$30:$AG$436,$AA187))</f>
        <v/>
      </c>
      <c r="J187" s="18" t="str">
        <f>IF($AA187=0,"",INDEX('13 - DATA &amp; LISTS'!$AH$30:$AH$436,$AA187))</f>
        <v/>
      </c>
      <c r="K187" s="18" t="str">
        <f>IF($AA187=0,"",INDEX('13 - DATA &amp; LISTS'!$AI$30:$AI$436,$AA187))</f>
        <v/>
      </c>
      <c r="AA187">
        <f>IF(COUNTIF('13 - DATA &amp; LISTS'!$AK$30:$AK$436,"&lt;999999999999")&lt;179,0,MATCH(SMALL('13 - DATA &amp; LISTS'!$AK$30:$AK$436,179),'13 - DATA &amp; LISTS'!$AK$30:$AK$436,0))</f>
        <v>0</v>
      </c>
    </row>
    <row r="188" spans="1:27" ht="63.95" customHeight="1">
      <c r="A188" s="18" t="str">
        <f>IF($AA188=0,"",INDEX('13 - DATA &amp; LISTS'!$Y$30:$Y$436,$AA188))</f>
        <v/>
      </c>
      <c r="B188" s="18" t="str">
        <f>IF($AA188=0,"",INDEX('13 - DATA &amp; LISTS'!$Z$30:$Z$436,$AA188))</f>
        <v/>
      </c>
      <c r="C188" s="18" t="str">
        <f>IF($AA188=0,"",INDEX('13 - DATA &amp; LISTS'!$AA$30:$AA$436,$AA188))</f>
        <v/>
      </c>
      <c r="D188" s="18" t="str">
        <f>IF($AA188=0,"",INDEX('13 - DATA &amp; LISTS'!$AB$30:$AB$436,$AA188))</f>
        <v/>
      </c>
      <c r="E188" s="18" t="str">
        <f>IF($AA188=0,"",INDEX('13 - DATA &amp; LISTS'!$AC$30:$AC$436,$AA188))</f>
        <v/>
      </c>
      <c r="F188" s="18" t="str">
        <f>IF($AA188=0,"",INDEX('13 - DATA &amp; LISTS'!$AD$30:$AD$436,$AA188))</f>
        <v/>
      </c>
      <c r="G188" s="18" t="str">
        <f>IF($AA188=0,"",INDEX('13 - DATA &amp; LISTS'!$AE$30:$AE$436,$AA188))</f>
        <v/>
      </c>
      <c r="H188" s="19" t="str">
        <f>IF($AA188=0,"",INDEX('13 - DATA &amp; LISTS'!$AF$30:$AF$436,$AA188))</f>
        <v/>
      </c>
      <c r="I188" s="18" t="str">
        <f>IF($AA188=0,"",INDEX('13 - DATA &amp; LISTS'!$AG$30:$AG$436,$AA188))</f>
        <v/>
      </c>
      <c r="J188" s="18" t="str">
        <f>IF($AA188=0,"",INDEX('13 - DATA &amp; LISTS'!$AH$30:$AH$436,$AA188))</f>
        <v/>
      </c>
      <c r="K188" s="18" t="str">
        <f>IF($AA188=0,"",INDEX('13 - DATA &amp; LISTS'!$AI$30:$AI$436,$AA188))</f>
        <v/>
      </c>
      <c r="AA188">
        <f>IF(COUNTIF('13 - DATA &amp; LISTS'!$AK$30:$AK$436,"&lt;999999999999")&lt;180,0,MATCH(SMALL('13 - DATA &amp; LISTS'!$AK$30:$AK$436,180),'13 - DATA &amp; LISTS'!$AK$30:$AK$436,0))</f>
        <v>0</v>
      </c>
    </row>
    <row r="189" spans="1:27" ht="63.95" customHeight="1">
      <c r="A189" s="18" t="str">
        <f>IF($AA189=0,"",INDEX('13 - DATA &amp; LISTS'!$Y$30:$Y$436,$AA189))</f>
        <v/>
      </c>
      <c r="B189" s="18" t="str">
        <f>IF($AA189=0,"",INDEX('13 - DATA &amp; LISTS'!$Z$30:$Z$436,$AA189))</f>
        <v/>
      </c>
      <c r="C189" s="18" t="str">
        <f>IF($AA189=0,"",INDEX('13 - DATA &amp; LISTS'!$AA$30:$AA$436,$AA189))</f>
        <v/>
      </c>
      <c r="D189" s="18" t="str">
        <f>IF($AA189=0,"",INDEX('13 - DATA &amp; LISTS'!$AB$30:$AB$436,$AA189))</f>
        <v/>
      </c>
      <c r="E189" s="18" t="str">
        <f>IF($AA189=0,"",INDEX('13 - DATA &amp; LISTS'!$AC$30:$AC$436,$AA189))</f>
        <v/>
      </c>
      <c r="F189" s="18" t="str">
        <f>IF($AA189=0,"",INDEX('13 - DATA &amp; LISTS'!$AD$30:$AD$436,$AA189))</f>
        <v/>
      </c>
      <c r="G189" s="18" t="str">
        <f>IF($AA189=0,"",INDEX('13 - DATA &amp; LISTS'!$AE$30:$AE$436,$AA189))</f>
        <v/>
      </c>
      <c r="H189" s="19" t="str">
        <f>IF($AA189=0,"",INDEX('13 - DATA &amp; LISTS'!$AF$30:$AF$436,$AA189))</f>
        <v/>
      </c>
      <c r="I189" s="18" t="str">
        <f>IF($AA189=0,"",INDEX('13 - DATA &amp; LISTS'!$AG$30:$AG$436,$AA189))</f>
        <v/>
      </c>
      <c r="J189" s="18" t="str">
        <f>IF($AA189=0,"",INDEX('13 - DATA &amp; LISTS'!$AH$30:$AH$436,$AA189))</f>
        <v/>
      </c>
      <c r="K189" s="18" t="str">
        <f>IF($AA189=0,"",INDEX('13 - DATA &amp; LISTS'!$AI$30:$AI$436,$AA189))</f>
        <v/>
      </c>
      <c r="AA189">
        <f>IF(COUNTIF('13 - DATA &amp; LISTS'!$AK$30:$AK$436,"&lt;999999999999")&lt;181,0,MATCH(SMALL('13 - DATA &amp; LISTS'!$AK$30:$AK$436,181),'13 - DATA &amp; LISTS'!$AK$30:$AK$436,0))</f>
        <v>0</v>
      </c>
    </row>
    <row r="190" spans="1:27" ht="63.95" customHeight="1">
      <c r="A190" s="18" t="str">
        <f>IF($AA190=0,"",INDEX('13 - DATA &amp; LISTS'!$Y$30:$Y$436,$AA190))</f>
        <v/>
      </c>
      <c r="B190" s="18" t="str">
        <f>IF($AA190=0,"",INDEX('13 - DATA &amp; LISTS'!$Z$30:$Z$436,$AA190))</f>
        <v/>
      </c>
      <c r="C190" s="18" t="str">
        <f>IF($AA190=0,"",INDEX('13 - DATA &amp; LISTS'!$AA$30:$AA$436,$AA190))</f>
        <v/>
      </c>
      <c r="D190" s="18" t="str">
        <f>IF($AA190=0,"",INDEX('13 - DATA &amp; LISTS'!$AB$30:$AB$436,$AA190))</f>
        <v/>
      </c>
      <c r="E190" s="18" t="str">
        <f>IF($AA190=0,"",INDEX('13 - DATA &amp; LISTS'!$AC$30:$AC$436,$AA190))</f>
        <v/>
      </c>
      <c r="F190" s="18" t="str">
        <f>IF($AA190=0,"",INDEX('13 - DATA &amp; LISTS'!$AD$30:$AD$436,$AA190))</f>
        <v/>
      </c>
      <c r="G190" s="18" t="str">
        <f>IF($AA190=0,"",INDEX('13 - DATA &amp; LISTS'!$AE$30:$AE$436,$AA190))</f>
        <v/>
      </c>
      <c r="H190" s="19" t="str">
        <f>IF($AA190=0,"",INDEX('13 - DATA &amp; LISTS'!$AF$30:$AF$436,$AA190))</f>
        <v/>
      </c>
      <c r="I190" s="18" t="str">
        <f>IF($AA190=0,"",INDEX('13 - DATA &amp; LISTS'!$AG$30:$AG$436,$AA190))</f>
        <v/>
      </c>
      <c r="J190" s="18" t="str">
        <f>IF($AA190=0,"",INDEX('13 - DATA &amp; LISTS'!$AH$30:$AH$436,$AA190))</f>
        <v/>
      </c>
      <c r="K190" s="18" t="str">
        <f>IF($AA190=0,"",INDEX('13 - DATA &amp; LISTS'!$AI$30:$AI$436,$AA190))</f>
        <v/>
      </c>
      <c r="AA190">
        <f>IF(COUNTIF('13 - DATA &amp; LISTS'!$AK$30:$AK$436,"&lt;999999999999")&lt;182,0,MATCH(SMALL('13 - DATA &amp; LISTS'!$AK$30:$AK$436,182),'13 - DATA &amp; LISTS'!$AK$30:$AK$436,0))</f>
        <v>0</v>
      </c>
    </row>
    <row r="191" spans="1:27" ht="63.95" customHeight="1">
      <c r="A191" s="18" t="str">
        <f>IF($AA191=0,"",INDEX('13 - DATA &amp; LISTS'!$Y$30:$Y$436,$AA191))</f>
        <v/>
      </c>
      <c r="B191" s="18" t="str">
        <f>IF($AA191=0,"",INDEX('13 - DATA &amp; LISTS'!$Z$30:$Z$436,$AA191))</f>
        <v/>
      </c>
      <c r="C191" s="18" t="str">
        <f>IF($AA191=0,"",INDEX('13 - DATA &amp; LISTS'!$AA$30:$AA$436,$AA191))</f>
        <v/>
      </c>
      <c r="D191" s="18" t="str">
        <f>IF($AA191=0,"",INDEX('13 - DATA &amp; LISTS'!$AB$30:$AB$436,$AA191))</f>
        <v/>
      </c>
      <c r="E191" s="18" t="str">
        <f>IF($AA191=0,"",INDEX('13 - DATA &amp; LISTS'!$AC$30:$AC$436,$AA191))</f>
        <v/>
      </c>
      <c r="F191" s="18" t="str">
        <f>IF($AA191=0,"",INDEX('13 - DATA &amp; LISTS'!$AD$30:$AD$436,$AA191))</f>
        <v/>
      </c>
      <c r="G191" s="18" t="str">
        <f>IF($AA191=0,"",INDEX('13 - DATA &amp; LISTS'!$AE$30:$AE$436,$AA191))</f>
        <v/>
      </c>
      <c r="H191" s="19" t="str">
        <f>IF($AA191=0,"",INDEX('13 - DATA &amp; LISTS'!$AF$30:$AF$436,$AA191))</f>
        <v/>
      </c>
      <c r="I191" s="18" t="str">
        <f>IF($AA191=0,"",INDEX('13 - DATA &amp; LISTS'!$AG$30:$AG$436,$AA191))</f>
        <v/>
      </c>
      <c r="J191" s="18" t="str">
        <f>IF($AA191=0,"",INDEX('13 - DATA &amp; LISTS'!$AH$30:$AH$436,$AA191))</f>
        <v/>
      </c>
      <c r="K191" s="18" t="str">
        <f>IF($AA191=0,"",INDEX('13 - DATA &amp; LISTS'!$AI$30:$AI$436,$AA191))</f>
        <v/>
      </c>
      <c r="AA191">
        <f>IF(COUNTIF('13 - DATA &amp; LISTS'!$AK$30:$AK$436,"&lt;999999999999")&lt;183,0,MATCH(SMALL('13 - DATA &amp; LISTS'!$AK$30:$AK$436,183),'13 - DATA &amp; LISTS'!$AK$30:$AK$436,0))</f>
        <v>0</v>
      </c>
    </row>
    <row r="192" spans="1:27" ht="63.95" customHeight="1">
      <c r="A192" s="18" t="str">
        <f>IF($AA192=0,"",INDEX('13 - DATA &amp; LISTS'!$Y$30:$Y$436,$AA192))</f>
        <v/>
      </c>
      <c r="B192" s="18" t="str">
        <f>IF($AA192=0,"",INDEX('13 - DATA &amp; LISTS'!$Z$30:$Z$436,$AA192))</f>
        <v/>
      </c>
      <c r="C192" s="18" t="str">
        <f>IF($AA192=0,"",INDEX('13 - DATA &amp; LISTS'!$AA$30:$AA$436,$AA192))</f>
        <v/>
      </c>
      <c r="D192" s="18" t="str">
        <f>IF($AA192=0,"",INDEX('13 - DATA &amp; LISTS'!$AB$30:$AB$436,$AA192))</f>
        <v/>
      </c>
      <c r="E192" s="18" t="str">
        <f>IF($AA192=0,"",INDEX('13 - DATA &amp; LISTS'!$AC$30:$AC$436,$AA192))</f>
        <v/>
      </c>
      <c r="F192" s="18" t="str">
        <f>IF($AA192=0,"",INDEX('13 - DATA &amp; LISTS'!$AD$30:$AD$436,$AA192))</f>
        <v/>
      </c>
      <c r="G192" s="18" t="str">
        <f>IF($AA192=0,"",INDEX('13 - DATA &amp; LISTS'!$AE$30:$AE$436,$AA192))</f>
        <v/>
      </c>
      <c r="H192" s="19" t="str">
        <f>IF($AA192=0,"",INDEX('13 - DATA &amp; LISTS'!$AF$30:$AF$436,$AA192))</f>
        <v/>
      </c>
      <c r="I192" s="18" t="str">
        <f>IF($AA192=0,"",INDEX('13 - DATA &amp; LISTS'!$AG$30:$AG$436,$AA192))</f>
        <v/>
      </c>
      <c r="J192" s="18" t="str">
        <f>IF($AA192=0,"",INDEX('13 - DATA &amp; LISTS'!$AH$30:$AH$436,$AA192))</f>
        <v/>
      </c>
      <c r="K192" s="18" t="str">
        <f>IF($AA192=0,"",INDEX('13 - DATA &amp; LISTS'!$AI$30:$AI$436,$AA192))</f>
        <v/>
      </c>
      <c r="AA192">
        <f>IF(COUNTIF('13 - DATA &amp; LISTS'!$AK$30:$AK$436,"&lt;999999999999")&lt;184,0,MATCH(SMALL('13 - DATA &amp; LISTS'!$AK$30:$AK$436,184),'13 - DATA &amp; LISTS'!$AK$30:$AK$436,0))</f>
        <v>0</v>
      </c>
    </row>
    <row r="193" spans="1:27" ht="63.95" customHeight="1">
      <c r="A193" s="18" t="str">
        <f>IF($AA193=0,"",INDEX('13 - DATA &amp; LISTS'!$Y$30:$Y$436,$AA193))</f>
        <v/>
      </c>
      <c r="B193" s="18" t="str">
        <f>IF($AA193=0,"",INDEX('13 - DATA &amp; LISTS'!$Z$30:$Z$436,$AA193))</f>
        <v/>
      </c>
      <c r="C193" s="18" t="str">
        <f>IF($AA193=0,"",INDEX('13 - DATA &amp; LISTS'!$AA$30:$AA$436,$AA193))</f>
        <v/>
      </c>
      <c r="D193" s="18" t="str">
        <f>IF($AA193=0,"",INDEX('13 - DATA &amp; LISTS'!$AB$30:$AB$436,$AA193))</f>
        <v/>
      </c>
      <c r="E193" s="18" t="str">
        <f>IF($AA193=0,"",INDEX('13 - DATA &amp; LISTS'!$AC$30:$AC$436,$AA193))</f>
        <v/>
      </c>
      <c r="F193" s="18" t="str">
        <f>IF($AA193=0,"",INDEX('13 - DATA &amp; LISTS'!$AD$30:$AD$436,$AA193))</f>
        <v/>
      </c>
      <c r="G193" s="18" t="str">
        <f>IF($AA193=0,"",INDEX('13 - DATA &amp; LISTS'!$AE$30:$AE$436,$AA193))</f>
        <v/>
      </c>
      <c r="H193" s="19" t="str">
        <f>IF($AA193=0,"",INDEX('13 - DATA &amp; LISTS'!$AF$30:$AF$436,$AA193))</f>
        <v/>
      </c>
      <c r="I193" s="18" t="str">
        <f>IF($AA193=0,"",INDEX('13 - DATA &amp; LISTS'!$AG$30:$AG$436,$AA193))</f>
        <v/>
      </c>
      <c r="J193" s="18" t="str">
        <f>IF($AA193=0,"",INDEX('13 - DATA &amp; LISTS'!$AH$30:$AH$436,$AA193))</f>
        <v/>
      </c>
      <c r="K193" s="18" t="str">
        <f>IF($AA193=0,"",INDEX('13 - DATA &amp; LISTS'!$AI$30:$AI$436,$AA193))</f>
        <v/>
      </c>
      <c r="AA193">
        <f>IF(COUNTIF('13 - DATA &amp; LISTS'!$AK$30:$AK$436,"&lt;999999999999")&lt;185,0,MATCH(SMALL('13 - DATA &amp; LISTS'!$AK$30:$AK$436,185),'13 - DATA &amp; LISTS'!$AK$30:$AK$436,0))</f>
        <v>0</v>
      </c>
    </row>
    <row r="194" spans="1:27" ht="63.95" customHeight="1">
      <c r="A194" s="18" t="str">
        <f>IF($AA194=0,"",INDEX('13 - DATA &amp; LISTS'!$Y$30:$Y$436,$AA194))</f>
        <v/>
      </c>
      <c r="B194" s="18" t="str">
        <f>IF($AA194=0,"",INDEX('13 - DATA &amp; LISTS'!$Z$30:$Z$436,$AA194))</f>
        <v/>
      </c>
      <c r="C194" s="18" t="str">
        <f>IF($AA194=0,"",INDEX('13 - DATA &amp; LISTS'!$AA$30:$AA$436,$AA194))</f>
        <v/>
      </c>
      <c r="D194" s="18" t="str">
        <f>IF($AA194=0,"",INDEX('13 - DATA &amp; LISTS'!$AB$30:$AB$436,$AA194))</f>
        <v/>
      </c>
      <c r="E194" s="18" t="str">
        <f>IF($AA194=0,"",INDEX('13 - DATA &amp; LISTS'!$AC$30:$AC$436,$AA194))</f>
        <v/>
      </c>
      <c r="F194" s="18" t="str">
        <f>IF($AA194=0,"",INDEX('13 - DATA &amp; LISTS'!$AD$30:$AD$436,$AA194))</f>
        <v/>
      </c>
      <c r="G194" s="18" t="str">
        <f>IF($AA194=0,"",INDEX('13 - DATA &amp; LISTS'!$AE$30:$AE$436,$AA194))</f>
        <v/>
      </c>
      <c r="H194" s="19" t="str">
        <f>IF($AA194=0,"",INDEX('13 - DATA &amp; LISTS'!$AF$30:$AF$436,$AA194))</f>
        <v/>
      </c>
      <c r="I194" s="18" t="str">
        <f>IF($AA194=0,"",INDEX('13 - DATA &amp; LISTS'!$AG$30:$AG$436,$AA194))</f>
        <v/>
      </c>
      <c r="J194" s="18" t="str">
        <f>IF($AA194=0,"",INDEX('13 - DATA &amp; LISTS'!$AH$30:$AH$436,$AA194))</f>
        <v/>
      </c>
      <c r="K194" s="18" t="str">
        <f>IF($AA194=0,"",INDEX('13 - DATA &amp; LISTS'!$AI$30:$AI$436,$AA194))</f>
        <v/>
      </c>
      <c r="AA194">
        <f>IF(COUNTIF('13 - DATA &amp; LISTS'!$AK$30:$AK$436,"&lt;999999999999")&lt;186,0,MATCH(SMALL('13 - DATA &amp; LISTS'!$AK$30:$AK$436,186),'13 - DATA &amp; LISTS'!$AK$30:$AK$436,0))</f>
        <v>0</v>
      </c>
    </row>
    <row r="195" spans="1:27" ht="63.95" customHeight="1">
      <c r="A195" s="18" t="str">
        <f>IF($AA195=0,"",INDEX('13 - DATA &amp; LISTS'!$Y$30:$Y$436,$AA195))</f>
        <v/>
      </c>
      <c r="B195" s="18" t="str">
        <f>IF($AA195=0,"",INDEX('13 - DATA &amp; LISTS'!$Z$30:$Z$436,$AA195))</f>
        <v/>
      </c>
      <c r="C195" s="18" t="str">
        <f>IF($AA195=0,"",INDEX('13 - DATA &amp; LISTS'!$AA$30:$AA$436,$AA195))</f>
        <v/>
      </c>
      <c r="D195" s="18" t="str">
        <f>IF($AA195=0,"",INDEX('13 - DATA &amp; LISTS'!$AB$30:$AB$436,$AA195))</f>
        <v/>
      </c>
      <c r="E195" s="18" t="str">
        <f>IF($AA195=0,"",INDEX('13 - DATA &amp; LISTS'!$AC$30:$AC$436,$AA195))</f>
        <v/>
      </c>
      <c r="F195" s="18" t="str">
        <f>IF($AA195=0,"",INDEX('13 - DATA &amp; LISTS'!$AD$30:$AD$436,$AA195))</f>
        <v/>
      </c>
      <c r="G195" s="18" t="str">
        <f>IF($AA195=0,"",INDEX('13 - DATA &amp; LISTS'!$AE$30:$AE$436,$AA195))</f>
        <v/>
      </c>
      <c r="H195" s="19" t="str">
        <f>IF($AA195=0,"",INDEX('13 - DATA &amp; LISTS'!$AF$30:$AF$436,$AA195))</f>
        <v/>
      </c>
      <c r="I195" s="18" t="str">
        <f>IF($AA195=0,"",INDEX('13 - DATA &amp; LISTS'!$AG$30:$AG$436,$AA195))</f>
        <v/>
      </c>
      <c r="J195" s="18" t="str">
        <f>IF($AA195=0,"",INDEX('13 - DATA &amp; LISTS'!$AH$30:$AH$436,$AA195))</f>
        <v/>
      </c>
      <c r="K195" s="18" t="str">
        <f>IF($AA195=0,"",INDEX('13 - DATA &amp; LISTS'!$AI$30:$AI$436,$AA195))</f>
        <v/>
      </c>
      <c r="AA195">
        <f>IF(COUNTIF('13 - DATA &amp; LISTS'!$AK$30:$AK$436,"&lt;999999999999")&lt;187,0,MATCH(SMALL('13 - DATA &amp; LISTS'!$AK$30:$AK$436,187),'13 - DATA &amp; LISTS'!$AK$30:$AK$436,0))</f>
        <v>0</v>
      </c>
    </row>
    <row r="196" spans="1:27" ht="63.95" customHeight="1">
      <c r="A196" s="18" t="str">
        <f>IF($AA196=0,"",INDEX('13 - DATA &amp; LISTS'!$Y$30:$Y$436,$AA196))</f>
        <v/>
      </c>
      <c r="B196" s="18" t="str">
        <f>IF($AA196=0,"",INDEX('13 - DATA &amp; LISTS'!$Z$30:$Z$436,$AA196))</f>
        <v/>
      </c>
      <c r="C196" s="18" t="str">
        <f>IF($AA196=0,"",INDEX('13 - DATA &amp; LISTS'!$AA$30:$AA$436,$AA196))</f>
        <v/>
      </c>
      <c r="D196" s="18" t="str">
        <f>IF($AA196=0,"",INDEX('13 - DATA &amp; LISTS'!$AB$30:$AB$436,$AA196))</f>
        <v/>
      </c>
      <c r="E196" s="18" t="str">
        <f>IF($AA196=0,"",INDEX('13 - DATA &amp; LISTS'!$AC$30:$AC$436,$AA196))</f>
        <v/>
      </c>
      <c r="F196" s="18" t="str">
        <f>IF($AA196=0,"",INDEX('13 - DATA &amp; LISTS'!$AD$30:$AD$436,$AA196))</f>
        <v/>
      </c>
      <c r="G196" s="18" t="str">
        <f>IF($AA196=0,"",INDEX('13 - DATA &amp; LISTS'!$AE$30:$AE$436,$AA196))</f>
        <v/>
      </c>
      <c r="H196" s="19" t="str">
        <f>IF($AA196=0,"",INDEX('13 - DATA &amp; LISTS'!$AF$30:$AF$436,$AA196))</f>
        <v/>
      </c>
      <c r="I196" s="18" t="str">
        <f>IF($AA196=0,"",INDEX('13 - DATA &amp; LISTS'!$AG$30:$AG$436,$AA196))</f>
        <v/>
      </c>
      <c r="J196" s="18" t="str">
        <f>IF($AA196=0,"",INDEX('13 - DATA &amp; LISTS'!$AH$30:$AH$436,$AA196))</f>
        <v/>
      </c>
      <c r="K196" s="18" t="str">
        <f>IF($AA196=0,"",INDEX('13 - DATA &amp; LISTS'!$AI$30:$AI$436,$AA196))</f>
        <v/>
      </c>
      <c r="AA196">
        <f>IF(COUNTIF('13 - DATA &amp; LISTS'!$AK$30:$AK$436,"&lt;999999999999")&lt;188,0,MATCH(SMALL('13 - DATA &amp; LISTS'!$AK$30:$AK$436,188),'13 - DATA &amp; LISTS'!$AK$30:$AK$436,0))</f>
        <v>0</v>
      </c>
    </row>
    <row r="197" spans="1:27" ht="63.95" customHeight="1">
      <c r="A197" s="18" t="str">
        <f>IF($AA197=0,"",INDEX('13 - DATA &amp; LISTS'!$Y$30:$Y$436,$AA197))</f>
        <v/>
      </c>
      <c r="B197" s="18" t="str">
        <f>IF($AA197=0,"",INDEX('13 - DATA &amp; LISTS'!$Z$30:$Z$436,$AA197))</f>
        <v/>
      </c>
      <c r="C197" s="18" t="str">
        <f>IF($AA197=0,"",INDEX('13 - DATA &amp; LISTS'!$AA$30:$AA$436,$AA197))</f>
        <v/>
      </c>
      <c r="D197" s="18" t="str">
        <f>IF($AA197=0,"",INDEX('13 - DATA &amp; LISTS'!$AB$30:$AB$436,$AA197))</f>
        <v/>
      </c>
      <c r="E197" s="18" t="str">
        <f>IF($AA197=0,"",INDEX('13 - DATA &amp; LISTS'!$AC$30:$AC$436,$AA197))</f>
        <v/>
      </c>
      <c r="F197" s="18" t="str">
        <f>IF($AA197=0,"",INDEX('13 - DATA &amp; LISTS'!$AD$30:$AD$436,$AA197))</f>
        <v/>
      </c>
      <c r="G197" s="18" t="str">
        <f>IF($AA197=0,"",INDEX('13 - DATA &amp; LISTS'!$AE$30:$AE$436,$AA197))</f>
        <v/>
      </c>
      <c r="H197" s="19" t="str">
        <f>IF($AA197=0,"",INDEX('13 - DATA &amp; LISTS'!$AF$30:$AF$436,$AA197))</f>
        <v/>
      </c>
      <c r="I197" s="18" t="str">
        <f>IF($AA197=0,"",INDEX('13 - DATA &amp; LISTS'!$AG$30:$AG$436,$AA197))</f>
        <v/>
      </c>
      <c r="J197" s="18" t="str">
        <f>IF($AA197=0,"",INDEX('13 - DATA &amp; LISTS'!$AH$30:$AH$436,$AA197))</f>
        <v/>
      </c>
      <c r="K197" s="18" t="str">
        <f>IF($AA197=0,"",INDEX('13 - DATA &amp; LISTS'!$AI$30:$AI$436,$AA197))</f>
        <v/>
      </c>
      <c r="AA197">
        <f>IF(COUNTIF('13 - DATA &amp; LISTS'!$AK$30:$AK$436,"&lt;999999999999")&lt;189,0,MATCH(SMALL('13 - DATA &amp; LISTS'!$AK$30:$AK$436,189),'13 - DATA &amp; LISTS'!$AK$30:$AK$436,0))</f>
        <v>0</v>
      </c>
    </row>
    <row r="198" spans="1:27" ht="63.95" customHeight="1">
      <c r="A198" s="18" t="str">
        <f>IF($AA198=0,"",INDEX('13 - DATA &amp; LISTS'!$Y$30:$Y$436,$AA198))</f>
        <v/>
      </c>
      <c r="B198" s="18" t="str">
        <f>IF($AA198=0,"",INDEX('13 - DATA &amp; LISTS'!$Z$30:$Z$436,$AA198))</f>
        <v/>
      </c>
      <c r="C198" s="18" t="str">
        <f>IF($AA198=0,"",INDEX('13 - DATA &amp; LISTS'!$AA$30:$AA$436,$AA198))</f>
        <v/>
      </c>
      <c r="D198" s="18" t="str">
        <f>IF($AA198=0,"",INDEX('13 - DATA &amp; LISTS'!$AB$30:$AB$436,$AA198))</f>
        <v/>
      </c>
      <c r="E198" s="18" t="str">
        <f>IF($AA198=0,"",INDEX('13 - DATA &amp; LISTS'!$AC$30:$AC$436,$AA198))</f>
        <v/>
      </c>
      <c r="F198" s="18" t="str">
        <f>IF($AA198=0,"",INDEX('13 - DATA &amp; LISTS'!$AD$30:$AD$436,$AA198))</f>
        <v/>
      </c>
      <c r="G198" s="18" t="str">
        <f>IF($AA198=0,"",INDEX('13 - DATA &amp; LISTS'!$AE$30:$AE$436,$AA198))</f>
        <v/>
      </c>
      <c r="H198" s="19" t="str">
        <f>IF($AA198=0,"",INDEX('13 - DATA &amp; LISTS'!$AF$30:$AF$436,$AA198))</f>
        <v/>
      </c>
      <c r="I198" s="18" t="str">
        <f>IF($AA198=0,"",INDEX('13 - DATA &amp; LISTS'!$AG$30:$AG$436,$AA198))</f>
        <v/>
      </c>
      <c r="J198" s="18" t="str">
        <f>IF($AA198=0,"",INDEX('13 - DATA &amp; LISTS'!$AH$30:$AH$436,$AA198))</f>
        <v/>
      </c>
      <c r="K198" s="18" t="str">
        <f>IF($AA198=0,"",INDEX('13 - DATA &amp; LISTS'!$AI$30:$AI$436,$AA198))</f>
        <v/>
      </c>
      <c r="AA198">
        <f>IF(COUNTIF('13 - DATA &amp; LISTS'!$AK$30:$AK$436,"&lt;999999999999")&lt;190,0,MATCH(SMALL('13 - DATA &amp; LISTS'!$AK$30:$AK$436,190),'13 - DATA &amp; LISTS'!$AK$30:$AK$436,0))</f>
        <v>0</v>
      </c>
    </row>
    <row r="199" spans="1:27" ht="63.95" customHeight="1">
      <c r="A199" s="18" t="str">
        <f>IF($AA199=0,"",INDEX('13 - DATA &amp; LISTS'!$Y$30:$Y$436,$AA199))</f>
        <v/>
      </c>
      <c r="B199" s="18" t="str">
        <f>IF($AA199=0,"",INDEX('13 - DATA &amp; LISTS'!$Z$30:$Z$436,$AA199))</f>
        <v/>
      </c>
      <c r="C199" s="18" t="str">
        <f>IF($AA199=0,"",INDEX('13 - DATA &amp; LISTS'!$AA$30:$AA$436,$AA199))</f>
        <v/>
      </c>
      <c r="D199" s="18" t="str">
        <f>IF($AA199=0,"",INDEX('13 - DATA &amp; LISTS'!$AB$30:$AB$436,$AA199))</f>
        <v/>
      </c>
      <c r="E199" s="18" t="str">
        <f>IF($AA199=0,"",INDEX('13 - DATA &amp; LISTS'!$AC$30:$AC$436,$AA199))</f>
        <v/>
      </c>
      <c r="F199" s="18" t="str">
        <f>IF($AA199=0,"",INDEX('13 - DATA &amp; LISTS'!$AD$30:$AD$436,$AA199))</f>
        <v/>
      </c>
      <c r="G199" s="18" t="str">
        <f>IF($AA199=0,"",INDEX('13 - DATA &amp; LISTS'!$AE$30:$AE$436,$AA199))</f>
        <v/>
      </c>
      <c r="H199" s="19" t="str">
        <f>IF($AA199=0,"",INDEX('13 - DATA &amp; LISTS'!$AF$30:$AF$436,$AA199))</f>
        <v/>
      </c>
      <c r="I199" s="18" t="str">
        <f>IF($AA199=0,"",INDEX('13 - DATA &amp; LISTS'!$AG$30:$AG$436,$AA199))</f>
        <v/>
      </c>
      <c r="J199" s="18" t="str">
        <f>IF($AA199=0,"",INDEX('13 - DATA &amp; LISTS'!$AH$30:$AH$436,$AA199))</f>
        <v/>
      </c>
      <c r="K199" s="18" t="str">
        <f>IF($AA199=0,"",INDEX('13 - DATA &amp; LISTS'!$AI$30:$AI$436,$AA199))</f>
        <v/>
      </c>
      <c r="AA199">
        <f>IF(COUNTIF('13 - DATA &amp; LISTS'!$AK$30:$AK$436,"&lt;999999999999")&lt;191,0,MATCH(SMALL('13 - DATA &amp; LISTS'!$AK$30:$AK$436,191),'13 - DATA &amp; LISTS'!$AK$30:$AK$436,0))</f>
        <v>0</v>
      </c>
    </row>
    <row r="200" spans="1:27" ht="63.95" customHeight="1">
      <c r="A200" s="18" t="str">
        <f>IF($AA200=0,"",INDEX('13 - DATA &amp; LISTS'!$Y$30:$Y$436,$AA200))</f>
        <v/>
      </c>
      <c r="B200" s="18" t="str">
        <f>IF($AA200=0,"",INDEX('13 - DATA &amp; LISTS'!$Z$30:$Z$436,$AA200))</f>
        <v/>
      </c>
      <c r="C200" s="18" t="str">
        <f>IF($AA200=0,"",INDEX('13 - DATA &amp; LISTS'!$AA$30:$AA$436,$AA200))</f>
        <v/>
      </c>
      <c r="D200" s="18" t="str">
        <f>IF($AA200=0,"",INDEX('13 - DATA &amp; LISTS'!$AB$30:$AB$436,$AA200))</f>
        <v/>
      </c>
      <c r="E200" s="18" t="str">
        <f>IF($AA200=0,"",INDEX('13 - DATA &amp; LISTS'!$AC$30:$AC$436,$AA200))</f>
        <v/>
      </c>
      <c r="F200" s="18" t="str">
        <f>IF($AA200=0,"",INDEX('13 - DATA &amp; LISTS'!$AD$30:$AD$436,$AA200))</f>
        <v/>
      </c>
      <c r="G200" s="18" t="str">
        <f>IF($AA200=0,"",INDEX('13 - DATA &amp; LISTS'!$AE$30:$AE$436,$AA200))</f>
        <v/>
      </c>
      <c r="H200" s="19" t="str">
        <f>IF($AA200=0,"",INDEX('13 - DATA &amp; LISTS'!$AF$30:$AF$436,$AA200))</f>
        <v/>
      </c>
      <c r="I200" s="18" t="str">
        <f>IF($AA200=0,"",INDEX('13 - DATA &amp; LISTS'!$AG$30:$AG$436,$AA200))</f>
        <v/>
      </c>
      <c r="J200" s="18" t="str">
        <f>IF($AA200=0,"",INDEX('13 - DATA &amp; LISTS'!$AH$30:$AH$436,$AA200))</f>
        <v/>
      </c>
      <c r="K200" s="18" t="str">
        <f>IF($AA200=0,"",INDEX('13 - DATA &amp; LISTS'!$AI$30:$AI$436,$AA200))</f>
        <v/>
      </c>
      <c r="AA200">
        <f>IF(COUNTIF('13 - DATA &amp; LISTS'!$AK$30:$AK$436,"&lt;999999999999")&lt;192,0,MATCH(SMALL('13 - DATA &amp; LISTS'!$AK$30:$AK$436,192),'13 - DATA &amp; LISTS'!$AK$30:$AK$436,0))</f>
        <v>0</v>
      </c>
    </row>
    <row r="201" spans="1:27" ht="63.95" customHeight="1">
      <c r="A201" s="18" t="str">
        <f>IF($AA201=0,"",INDEX('13 - DATA &amp; LISTS'!$Y$30:$Y$436,$AA201))</f>
        <v/>
      </c>
      <c r="B201" s="18" t="str">
        <f>IF($AA201=0,"",INDEX('13 - DATA &amp; LISTS'!$Z$30:$Z$436,$AA201))</f>
        <v/>
      </c>
      <c r="C201" s="18" t="str">
        <f>IF($AA201=0,"",INDEX('13 - DATA &amp; LISTS'!$AA$30:$AA$436,$AA201))</f>
        <v/>
      </c>
      <c r="D201" s="18" t="str">
        <f>IF($AA201=0,"",INDEX('13 - DATA &amp; LISTS'!$AB$30:$AB$436,$AA201))</f>
        <v/>
      </c>
      <c r="E201" s="18" t="str">
        <f>IF($AA201=0,"",INDEX('13 - DATA &amp; LISTS'!$AC$30:$AC$436,$AA201))</f>
        <v/>
      </c>
      <c r="F201" s="18" t="str">
        <f>IF($AA201=0,"",INDEX('13 - DATA &amp; LISTS'!$AD$30:$AD$436,$AA201))</f>
        <v/>
      </c>
      <c r="G201" s="18" t="str">
        <f>IF($AA201=0,"",INDEX('13 - DATA &amp; LISTS'!$AE$30:$AE$436,$AA201))</f>
        <v/>
      </c>
      <c r="H201" s="19" t="str">
        <f>IF($AA201=0,"",INDEX('13 - DATA &amp; LISTS'!$AF$30:$AF$436,$AA201))</f>
        <v/>
      </c>
      <c r="I201" s="18" t="str">
        <f>IF($AA201=0,"",INDEX('13 - DATA &amp; LISTS'!$AG$30:$AG$436,$AA201))</f>
        <v/>
      </c>
      <c r="J201" s="18" t="str">
        <f>IF($AA201=0,"",INDEX('13 - DATA &amp; LISTS'!$AH$30:$AH$436,$AA201))</f>
        <v/>
      </c>
      <c r="K201" s="18" t="str">
        <f>IF($AA201=0,"",INDEX('13 - DATA &amp; LISTS'!$AI$30:$AI$436,$AA201))</f>
        <v/>
      </c>
      <c r="AA201">
        <f>IF(COUNTIF('13 - DATA &amp; LISTS'!$AK$30:$AK$436,"&lt;999999999999")&lt;193,0,MATCH(SMALL('13 - DATA &amp; LISTS'!$AK$30:$AK$436,193),'13 - DATA &amp; LISTS'!$AK$30:$AK$436,0))</f>
        <v>0</v>
      </c>
    </row>
    <row r="202" spans="1:27" ht="63.95" customHeight="1">
      <c r="A202" s="18" t="str">
        <f>IF($AA202=0,"",INDEX('13 - DATA &amp; LISTS'!$Y$30:$Y$436,$AA202))</f>
        <v/>
      </c>
      <c r="B202" s="18" t="str">
        <f>IF($AA202=0,"",INDEX('13 - DATA &amp; LISTS'!$Z$30:$Z$436,$AA202))</f>
        <v/>
      </c>
      <c r="C202" s="18" t="str">
        <f>IF($AA202=0,"",INDEX('13 - DATA &amp; LISTS'!$AA$30:$AA$436,$AA202))</f>
        <v/>
      </c>
      <c r="D202" s="18" t="str">
        <f>IF($AA202=0,"",INDEX('13 - DATA &amp; LISTS'!$AB$30:$AB$436,$AA202))</f>
        <v/>
      </c>
      <c r="E202" s="18" t="str">
        <f>IF($AA202=0,"",INDEX('13 - DATA &amp; LISTS'!$AC$30:$AC$436,$AA202))</f>
        <v/>
      </c>
      <c r="F202" s="18" t="str">
        <f>IF($AA202=0,"",INDEX('13 - DATA &amp; LISTS'!$AD$30:$AD$436,$AA202))</f>
        <v/>
      </c>
      <c r="G202" s="18" t="str">
        <f>IF($AA202=0,"",INDEX('13 - DATA &amp; LISTS'!$AE$30:$AE$436,$AA202))</f>
        <v/>
      </c>
      <c r="H202" s="19" t="str">
        <f>IF($AA202=0,"",INDEX('13 - DATA &amp; LISTS'!$AF$30:$AF$436,$AA202))</f>
        <v/>
      </c>
      <c r="I202" s="18" t="str">
        <f>IF($AA202=0,"",INDEX('13 - DATA &amp; LISTS'!$AG$30:$AG$436,$AA202))</f>
        <v/>
      </c>
      <c r="J202" s="18" t="str">
        <f>IF($AA202=0,"",INDEX('13 - DATA &amp; LISTS'!$AH$30:$AH$436,$AA202))</f>
        <v/>
      </c>
      <c r="K202" s="18" t="str">
        <f>IF($AA202=0,"",INDEX('13 - DATA &amp; LISTS'!$AI$30:$AI$436,$AA202))</f>
        <v/>
      </c>
      <c r="AA202">
        <f>IF(COUNTIF('13 - DATA &amp; LISTS'!$AK$30:$AK$436,"&lt;999999999999")&lt;194,0,MATCH(SMALL('13 - DATA &amp; LISTS'!$AK$30:$AK$436,194),'13 - DATA &amp; LISTS'!$AK$30:$AK$436,0))</f>
        <v>0</v>
      </c>
    </row>
    <row r="203" spans="1:27" ht="63.95" customHeight="1">
      <c r="A203" s="18" t="str">
        <f>IF($AA203=0,"",INDEX('13 - DATA &amp; LISTS'!$Y$30:$Y$436,$AA203))</f>
        <v/>
      </c>
      <c r="B203" s="18" t="str">
        <f>IF($AA203=0,"",INDEX('13 - DATA &amp; LISTS'!$Z$30:$Z$436,$AA203))</f>
        <v/>
      </c>
      <c r="C203" s="18" t="str">
        <f>IF($AA203=0,"",INDEX('13 - DATA &amp; LISTS'!$AA$30:$AA$436,$AA203))</f>
        <v/>
      </c>
      <c r="D203" s="18" t="str">
        <f>IF($AA203=0,"",INDEX('13 - DATA &amp; LISTS'!$AB$30:$AB$436,$AA203))</f>
        <v/>
      </c>
      <c r="E203" s="18" t="str">
        <f>IF($AA203=0,"",INDEX('13 - DATA &amp; LISTS'!$AC$30:$AC$436,$AA203))</f>
        <v/>
      </c>
      <c r="F203" s="18" t="str">
        <f>IF($AA203=0,"",INDEX('13 - DATA &amp; LISTS'!$AD$30:$AD$436,$AA203))</f>
        <v/>
      </c>
      <c r="G203" s="18" t="str">
        <f>IF($AA203=0,"",INDEX('13 - DATA &amp; LISTS'!$AE$30:$AE$436,$AA203))</f>
        <v/>
      </c>
      <c r="H203" s="19" t="str">
        <f>IF($AA203=0,"",INDEX('13 - DATA &amp; LISTS'!$AF$30:$AF$436,$AA203))</f>
        <v/>
      </c>
      <c r="I203" s="18" t="str">
        <f>IF($AA203=0,"",INDEX('13 - DATA &amp; LISTS'!$AG$30:$AG$436,$AA203))</f>
        <v/>
      </c>
      <c r="J203" s="18" t="str">
        <f>IF($AA203=0,"",INDEX('13 - DATA &amp; LISTS'!$AH$30:$AH$436,$AA203))</f>
        <v/>
      </c>
      <c r="K203" s="18" t="str">
        <f>IF($AA203=0,"",INDEX('13 - DATA &amp; LISTS'!$AI$30:$AI$436,$AA203))</f>
        <v/>
      </c>
      <c r="AA203">
        <f>IF(COUNTIF('13 - DATA &amp; LISTS'!$AK$30:$AK$436,"&lt;999999999999")&lt;195,0,MATCH(SMALL('13 - DATA &amp; LISTS'!$AK$30:$AK$436,195),'13 - DATA &amp; LISTS'!$AK$30:$AK$436,0))</f>
        <v>0</v>
      </c>
    </row>
    <row r="204" spans="1:27" ht="63.95" customHeight="1">
      <c r="A204" s="18" t="str">
        <f>IF($AA204=0,"",INDEX('13 - DATA &amp; LISTS'!$Y$30:$Y$436,$AA204))</f>
        <v/>
      </c>
      <c r="B204" s="18" t="str">
        <f>IF($AA204=0,"",INDEX('13 - DATA &amp; LISTS'!$Z$30:$Z$436,$AA204))</f>
        <v/>
      </c>
      <c r="C204" s="18" t="str">
        <f>IF($AA204=0,"",INDEX('13 - DATA &amp; LISTS'!$AA$30:$AA$436,$AA204))</f>
        <v/>
      </c>
      <c r="D204" s="18" t="str">
        <f>IF($AA204=0,"",INDEX('13 - DATA &amp; LISTS'!$AB$30:$AB$436,$AA204))</f>
        <v/>
      </c>
      <c r="E204" s="18" t="str">
        <f>IF($AA204=0,"",INDEX('13 - DATA &amp; LISTS'!$AC$30:$AC$436,$AA204))</f>
        <v/>
      </c>
      <c r="F204" s="18" t="str">
        <f>IF($AA204=0,"",INDEX('13 - DATA &amp; LISTS'!$AD$30:$AD$436,$AA204))</f>
        <v/>
      </c>
      <c r="G204" s="18" t="str">
        <f>IF($AA204=0,"",INDEX('13 - DATA &amp; LISTS'!$AE$30:$AE$436,$AA204))</f>
        <v/>
      </c>
      <c r="H204" s="19" t="str">
        <f>IF($AA204=0,"",INDEX('13 - DATA &amp; LISTS'!$AF$30:$AF$436,$AA204))</f>
        <v/>
      </c>
      <c r="I204" s="18" t="str">
        <f>IF($AA204=0,"",INDEX('13 - DATA &amp; LISTS'!$AG$30:$AG$436,$AA204))</f>
        <v/>
      </c>
      <c r="J204" s="18" t="str">
        <f>IF($AA204=0,"",INDEX('13 - DATA &amp; LISTS'!$AH$30:$AH$436,$AA204))</f>
        <v/>
      </c>
      <c r="K204" s="18" t="str">
        <f>IF($AA204=0,"",INDEX('13 - DATA &amp; LISTS'!$AI$30:$AI$436,$AA204))</f>
        <v/>
      </c>
      <c r="AA204">
        <f>IF(COUNTIF('13 - DATA &amp; LISTS'!$AK$30:$AK$436,"&lt;999999999999")&lt;196,0,MATCH(SMALL('13 - DATA &amp; LISTS'!$AK$30:$AK$436,196),'13 - DATA &amp; LISTS'!$AK$30:$AK$436,0))</f>
        <v>0</v>
      </c>
    </row>
    <row r="205" spans="1:27" ht="63.95" customHeight="1">
      <c r="A205" s="18" t="str">
        <f>IF($AA205=0,"",INDEX('13 - DATA &amp; LISTS'!$Y$30:$Y$436,$AA205))</f>
        <v/>
      </c>
      <c r="B205" s="18" t="str">
        <f>IF($AA205=0,"",INDEX('13 - DATA &amp; LISTS'!$Z$30:$Z$436,$AA205))</f>
        <v/>
      </c>
      <c r="C205" s="18" t="str">
        <f>IF($AA205=0,"",INDEX('13 - DATA &amp; LISTS'!$AA$30:$AA$436,$AA205))</f>
        <v/>
      </c>
      <c r="D205" s="18" t="str">
        <f>IF($AA205=0,"",INDEX('13 - DATA &amp; LISTS'!$AB$30:$AB$436,$AA205))</f>
        <v/>
      </c>
      <c r="E205" s="18" t="str">
        <f>IF($AA205=0,"",INDEX('13 - DATA &amp; LISTS'!$AC$30:$AC$436,$AA205))</f>
        <v/>
      </c>
      <c r="F205" s="18" t="str">
        <f>IF($AA205=0,"",INDEX('13 - DATA &amp; LISTS'!$AD$30:$AD$436,$AA205))</f>
        <v/>
      </c>
      <c r="G205" s="18" t="str">
        <f>IF($AA205=0,"",INDEX('13 - DATA &amp; LISTS'!$AE$30:$AE$436,$AA205))</f>
        <v/>
      </c>
      <c r="H205" s="19" t="str">
        <f>IF($AA205=0,"",INDEX('13 - DATA &amp; LISTS'!$AF$30:$AF$436,$AA205))</f>
        <v/>
      </c>
      <c r="I205" s="18" t="str">
        <f>IF($AA205=0,"",INDEX('13 - DATA &amp; LISTS'!$AG$30:$AG$436,$AA205))</f>
        <v/>
      </c>
      <c r="J205" s="18" t="str">
        <f>IF($AA205=0,"",INDEX('13 - DATA &amp; LISTS'!$AH$30:$AH$436,$AA205))</f>
        <v/>
      </c>
      <c r="K205" s="18" t="str">
        <f>IF($AA205=0,"",INDEX('13 - DATA &amp; LISTS'!$AI$30:$AI$436,$AA205))</f>
        <v/>
      </c>
      <c r="AA205">
        <f>IF(COUNTIF('13 - DATA &amp; LISTS'!$AK$30:$AK$436,"&lt;999999999999")&lt;197,0,MATCH(SMALL('13 - DATA &amp; LISTS'!$AK$30:$AK$436,197),'13 - DATA &amp; LISTS'!$AK$30:$AK$436,0))</f>
        <v>0</v>
      </c>
    </row>
    <row r="206" spans="1:27" ht="63.95" customHeight="1">
      <c r="A206" s="18" t="str">
        <f>IF($AA206=0,"",INDEX('13 - DATA &amp; LISTS'!$Y$30:$Y$436,$AA206))</f>
        <v/>
      </c>
      <c r="B206" s="18" t="str">
        <f>IF($AA206=0,"",INDEX('13 - DATA &amp; LISTS'!$Z$30:$Z$436,$AA206))</f>
        <v/>
      </c>
      <c r="C206" s="18" t="str">
        <f>IF($AA206=0,"",INDEX('13 - DATA &amp; LISTS'!$AA$30:$AA$436,$AA206))</f>
        <v/>
      </c>
      <c r="D206" s="18" t="str">
        <f>IF($AA206=0,"",INDEX('13 - DATA &amp; LISTS'!$AB$30:$AB$436,$AA206))</f>
        <v/>
      </c>
      <c r="E206" s="18" t="str">
        <f>IF($AA206=0,"",INDEX('13 - DATA &amp; LISTS'!$AC$30:$AC$436,$AA206))</f>
        <v/>
      </c>
      <c r="F206" s="18" t="str">
        <f>IF($AA206=0,"",INDEX('13 - DATA &amp; LISTS'!$AD$30:$AD$436,$AA206))</f>
        <v/>
      </c>
      <c r="G206" s="18" t="str">
        <f>IF($AA206=0,"",INDEX('13 - DATA &amp; LISTS'!$AE$30:$AE$436,$AA206))</f>
        <v/>
      </c>
      <c r="H206" s="19" t="str">
        <f>IF($AA206=0,"",INDEX('13 - DATA &amp; LISTS'!$AF$30:$AF$436,$AA206))</f>
        <v/>
      </c>
      <c r="I206" s="18" t="str">
        <f>IF($AA206=0,"",INDEX('13 - DATA &amp; LISTS'!$AG$30:$AG$436,$AA206))</f>
        <v/>
      </c>
      <c r="J206" s="18" t="str">
        <f>IF($AA206=0,"",INDEX('13 - DATA &amp; LISTS'!$AH$30:$AH$436,$AA206))</f>
        <v/>
      </c>
      <c r="K206" s="18" t="str">
        <f>IF($AA206=0,"",INDEX('13 - DATA &amp; LISTS'!$AI$30:$AI$436,$AA206))</f>
        <v/>
      </c>
      <c r="AA206">
        <f>IF(COUNTIF('13 - DATA &amp; LISTS'!$AK$30:$AK$436,"&lt;999999999999")&lt;198,0,MATCH(SMALL('13 - DATA &amp; LISTS'!$AK$30:$AK$436,198),'13 - DATA &amp; LISTS'!$AK$30:$AK$436,0))</f>
        <v>0</v>
      </c>
    </row>
    <row r="207" spans="1:27" ht="63.95" customHeight="1">
      <c r="A207" s="18" t="str">
        <f>IF($AA207=0,"",INDEX('13 - DATA &amp; LISTS'!$Y$30:$Y$436,$AA207))</f>
        <v/>
      </c>
      <c r="B207" s="18" t="str">
        <f>IF($AA207=0,"",INDEX('13 - DATA &amp; LISTS'!$Z$30:$Z$436,$AA207))</f>
        <v/>
      </c>
      <c r="C207" s="18" t="str">
        <f>IF($AA207=0,"",INDEX('13 - DATA &amp; LISTS'!$AA$30:$AA$436,$AA207))</f>
        <v/>
      </c>
      <c r="D207" s="18" t="str">
        <f>IF($AA207=0,"",INDEX('13 - DATA &amp; LISTS'!$AB$30:$AB$436,$AA207))</f>
        <v/>
      </c>
      <c r="E207" s="18" t="str">
        <f>IF($AA207=0,"",INDEX('13 - DATA &amp; LISTS'!$AC$30:$AC$436,$AA207))</f>
        <v/>
      </c>
      <c r="F207" s="18" t="str">
        <f>IF($AA207=0,"",INDEX('13 - DATA &amp; LISTS'!$AD$30:$AD$436,$AA207))</f>
        <v/>
      </c>
      <c r="G207" s="18" t="str">
        <f>IF($AA207=0,"",INDEX('13 - DATA &amp; LISTS'!$AE$30:$AE$436,$AA207))</f>
        <v/>
      </c>
      <c r="H207" s="19" t="str">
        <f>IF($AA207=0,"",INDEX('13 - DATA &amp; LISTS'!$AF$30:$AF$436,$AA207))</f>
        <v/>
      </c>
      <c r="I207" s="18" t="str">
        <f>IF($AA207=0,"",INDEX('13 - DATA &amp; LISTS'!$AG$30:$AG$436,$AA207))</f>
        <v/>
      </c>
      <c r="J207" s="18" t="str">
        <f>IF($AA207=0,"",INDEX('13 - DATA &amp; LISTS'!$AH$30:$AH$436,$AA207))</f>
        <v/>
      </c>
      <c r="K207" s="18" t="str">
        <f>IF($AA207=0,"",INDEX('13 - DATA &amp; LISTS'!$AI$30:$AI$436,$AA207))</f>
        <v/>
      </c>
      <c r="AA207">
        <f>IF(COUNTIF('13 - DATA &amp; LISTS'!$AK$30:$AK$436,"&lt;999999999999")&lt;199,0,MATCH(SMALL('13 - DATA &amp; LISTS'!$AK$30:$AK$436,199),'13 - DATA &amp; LISTS'!$AK$30:$AK$436,0))</f>
        <v>0</v>
      </c>
    </row>
    <row r="208" spans="1:27" ht="63.95" customHeight="1">
      <c r="A208" s="18" t="str">
        <f>IF($AA208=0,"",INDEX('13 - DATA &amp; LISTS'!$Y$30:$Y$436,$AA208))</f>
        <v/>
      </c>
      <c r="B208" s="18" t="str">
        <f>IF($AA208=0,"",INDEX('13 - DATA &amp; LISTS'!$Z$30:$Z$436,$AA208))</f>
        <v/>
      </c>
      <c r="C208" s="18" t="str">
        <f>IF($AA208=0,"",INDEX('13 - DATA &amp; LISTS'!$AA$30:$AA$436,$AA208))</f>
        <v/>
      </c>
      <c r="D208" s="18" t="str">
        <f>IF($AA208=0,"",INDEX('13 - DATA &amp; LISTS'!$AB$30:$AB$436,$AA208))</f>
        <v/>
      </c>
      <c r="E208" s="18" t="str">
        <f>IF($AA208=0,"",INDEX('13 - DATA &amp; LISTS'!$AC$30:$AC$436,$AA208))</f>
        <v/>
      </c>
      <c r="F208" s="18" t="str">
        <f>IF($AA208=0,"",INDEX('13 - DATA &amp; LISTS'!$AD$30:$AD$436,$AA208))</f>
        <v/>
      </c>
      <c r="G208" s="18" t="str">
        <f>IF($AA208=0,"",INDEX('13 - DATA &amp; LISTS'!$AE$30:$AE$436,$AA208))</f>
        <v/>
      </c>
      <c r="H208" s="19" t="str">
        <f>IF($AA208=0,"",INDEX('13 - DATA &amp; LISTS'!$AF$30:$AF$436,$AA208))</f>
        <v/>
      </c>
      <c r="I208" s="18" t="str">
        <f>IF($AA208=0,"",INDEX('13 - DATA &amp; LISTS'!$AG$30:$AG$436,$AA208))</f>
        <v/>
      </c>
      <c r="J208" s="18" t="str">
        <f>IF($AA208=0,"",INDEX('13 - DATA &amp; LISTS'!$AH$30:$AH$436,$AA208))</f>
        <v/>
      </c>
      <c r="K208" s="18" t="str">
        <f>IF($AA208=0,"",INDEX('13 - DATA &amp; LISTS'!$AI$30:$AI$436,$AA208))</f>
        <v/>
      </c>
      <c r="AA208">
        <f>IF(COUNTIF('13 - DATA &amp; LISTS'!$AK$30:$AK$436,"&lt;999999999999")&lt;200,0,MATCH(SMALL('13 - DATA &amp; LISTS'!$AK$30:$AK$436,200),'13 - DATA &amp; LISTS'!$AK$30:$AK$436,0))</f>
        <v>0</v>
      </c>
    </row>
    <row r="209" spans="1:27" ht="63.95" customHeight="1">
      <c r="A209" s="18" t="str">
        <f>IF($AA209=0,"",INDEX('13 - DATA &amp; LISTS'!$Y$30:$Y$436,$AA209))</f>
        <v/>
      </c>
      <c r="B209" s="18" t="str">
        <f>IF($AA209=0,"",INDEX('13 - DATA &amp; LISTS'!$Z$30:$Z$436,$AA209))</f>
        <v/>
      </c>
      <c r="C209" s="18" t="str">
        <f>IF($AA209=0,"",INDEX('13 - DATA &amp; LISTS'!$AA$30:$AA$436,$AA209))</f>
        <v/>
      </c>
      <c r="D209" s="18" t="str">
        <f>IF($AA209=0,"",INDEX('13 - DATA &amp; LISTS'!$AB$30:$AB$436,$AA209))</f>
        <v/>
      </c>
      <c r="E209" s="18" t="str">
        <f>IF($AA209=0,"",INDEX('13 - DATA &amp; LISTS'!$AC$30:$AC$436,$AA209))</f>
        <v/>
      </c>
      <c r="F209" s="18" t="str">
        <f>IF($AA209=0,"",INDEX('13 - DATA &amp; LISTS'!$AD$30:$AD$436,$AA209))</f>
        <v/>
      </c>
      <c r="G209" s="18" t="str">
        <f>IF($AA209=0,"",INDEX('13 - DATA &amp; LISTS'!$AE$30:$AE$436,$AA209))</f>
        <v/>
      </c>
      <c r="H209" s="19" t="str">
        <f>IF($AA209=0,"",INDEX('13 - DATA &amp; LISTS'!$AF$30:$AF$436,$AA209))</f>
        <v/>
      </c>
      <c r="I209" s="18" t="str">
        <f>IF($AA209=0,"",INDEX('13 - DATA &amp; LISTS'!$AG$30:$AG$436,$AA209))</f>
        <v/>
      </c>
      <c r="J209" s="18" t="str">
        <f>IF($AA209=0,"",INDEX('13 - DATA &amp; LISTS'!$AH$30:$AH$436,$AA209))</f>
        <v/>
      </c>
      <c r="K209" s="18" t="str">
        <f>IF($AA209=0,"",INDEX('13 - DATA &amp; LISTS'!$AI$30:$AI$436,$AA209))</f>
        <v/>
      </c>
      <c r="AA209">
        <f>IF(COUNTIF('13 - DATA &amp; LISTS'!$AK$30:$AK$436,"&lt;999999999999")&lt;201,0,MATCH(SMALL('13 - DATA &amp; LISTS'!$AK$30:$AK$436,201),'13 - DATA &amp; LISTS'!$AK$30:$AK$436,0))</f>
        <v>0</v>
      </c>
    </row>
    <row r="210" spans="1:27" ht="63.95" customHeight="1">
      <c r="A210" s="18" t="str">
        <f>IF($AA210=0,"",INDEX('13 - DATA &amp; LISTS'!$Y$30:$Y$436,$AA210))</f>
        <v/>
      </c>
      <c r="B210" s="18" t="str">
        <f>IF($AA210=0,"",INDEX('13 - DATA &amp; LISTS'!$Z$30:$Z$436,$AA210))</f>
        <v/>
      </c>
      <c r="C210" s="18" t="str">
        <f>IF($AA210=0,"",INDEX('13 - DATA &amp; LISTS'!$AA$30:$AA$436,$AA210))</f>
        <v/>
      </c>
      <c r="D210" s="18" t="str">
        <f>IF($AA210=0,"",INDEX('13 - DATA &amp; LISTS'!$AB$30:$AB$436,$AA210))</f>
        <v/>
      </c>
      <c r="E210" s="18" t="str">
        <f>IF($AA210=0,"",INDEX('13 - DATA &amp; LISTS'!$AC$30:$AC$436,$AA210))</f>
        <v/>
      </c>
      <c r="F210" s="18" t="str">
        <f>IF($AA210=0,"",INDEX('13 - DATA &amp; LISTS'!$AD$30:$AD$436,$AA210))</f>
        <v/>
      </c>
      <c r="G210" s="18" t="str">
        <f>IF($AA210=0,"",INDEX('13 - DATA &amp; LISTS'!$AE$30:$AE$436,$AA210))</f>
        <v/>
      </c>
      <c r="H210" s="19" t="str">
        <f>IF($AA210=0,"",INDEX('13 - DATA &amp; LISTS'!$AF$30:$AF$436,$AA210))</f>
        <v/>
      </c>
      <c r="I210" s="18" t="str">
        <f>IF($AA210=0,"",INDEX('13 - DATA &amp; LISTS'!$AG$30:$AG$436,$AA210))</f>
        <v/>
      </c>
      <c r="J210" s="18" t="str">
        <f>IF($AA210=0,"",INDEX('13 - DATA &amp; LISTS'!$AH$30:$AH$436,$AA210))</f>
        <v/>
      </c>
      <c r="K210" s="18" t="str">
        <f>IF($AA210=0,"",INDEX('13 - DATA &amp; LISTS'!$AI$30:$AI$436,$AA210))</f>
        <v/>
      </c>
      <c r="AA210">
        <f>IF(COUNTIF('13 - DATA &amp; LISTS'!$AK$30:$AK$436,"&lt;999999999999")&lt;202,0,MATCH(SMALL('13 - DATA &amp; LISTS'!$AK$30:$AK$436,202),'13 - DATA &amp; LISTS'!$AK$30:$AK$436,0))</f>
        <v>0</v>
      </c>
    </row>
    <row r="211" spans="1:27" ht="63.95" customHeight="1">
      <c r="A211" s="18" t="str">
        <f>IF($AA211=0,"",INDEX('13 - DATA &amp; LISTS'!$Y$30:$Y$436,$AA211))</f>
        <v/>
      </c>
      <c r="B211" s="18" t="str">
        <f>IF($AA211=0,"",INDEX('13 - DATA &amp; LISTS'!$Z$30:$Z$436,$AA211))</f>
        <v/>
      </c>
      <c r="C211" s="18" t="str">
        <f>IF($AA211=0,"",INDEX('13 - DATA &amp; LISTS'!$AA$30:$AA$436,$AA211))</f>
        <v/>
      </c>
      <c r="D211" s="18" t="str">
        <f>IF($AA211=0,"",INDEX('13 - DATA &amp; LISTS'!$AB$30:$AB$436,$AA211))</f>
        <v/>
      </c>
      <c r="E211" s="18" t="str">
        <f>IF($AA211=0,"",INDEX('13 - DATA &amp; LISTS'!$AC$30:$AC$436,$AA211))</f>
        <v/>
      </c>
      <c r="F211" s="18" t="str">
        <f>IF($AA211=0,"",INDEX('13 - DATA &amp; LISTS'!$AD$30:$AD$436,$AA211))</f>
        <v/>
      </c>
      <c r="G211" s="18" t="str">
        <f>IF($AA211=0,"",INDEX('13 - DATA &amp; LISTS'!$AE$30:$AE$436,$AA211))</f>
        <v/>
      </c>
      <c r="H211" s="19" t="str">
        <f>IF($AA211=0,"",INDEX('13 - DATA &amp; LISTS'!$AF$30:$AF$436,$AA211))</f>
        <v/>
      </c>
      <c r="I211" s="18" t="str">
        <f>IF($AA211=0,"",INDEX('13 - DATA &amp; LISTS'!$AG$30:$AG$436,$AA211))</f>
        <v/>
      </c>
      <c r="J211" s="18" t="str">
        <f>IF($AA211=0,"",INDEX('13 - DATA &amp; LISTS'!$AH$30:$AH$436,$AA211))</f>
        <v/>
      </c>
      <c r="K211" s="18" t="str">
        <f>IF($AA211=0,"",INDEX('13 - DATA &amp; LISTS'!$AI$30:$AI$436,$AA211))</f>
        <v/>
      </c>
      <c r="AA211">
        <f>IF(COUNTIF('13 - DATA &amp; LISTS'!$AK$30:$AK$436,"&lt;999999999999")&lt;203,0,MATCH(SMALL('13 - DATA &amp; LISTS'!$AK$30:$AK$436,203),'13 - DATA &amp; LISTS'!$AK$30:$AK$436,0))</f>
        <v>0</v>
      </c>
    </row>
    <row r="212" spans="1:27" ht="63.95" customHeight="1">
      <c r="A212" s="18" t="str">
        <f>IF($AA212=0,"",INDEX('13 - DATA &amp; LISTS'!$Y$30:$Y$436,$AA212))</f>
        <v/>
      </c>
      <c r="B212" s="18" t="str">
        <f>IF($AA212=0,"",INDEX('13 - DATA &amp; LISTS'!$Z$30:$Z$436,$AA212))</f>
        <v/>
      </c>
      <c r="C212" s="18" t="str">
        <f>IF($AA212=0,"",INDEX('13 - DATA &amp; LISTS'!$AA$30:$AA$436,$AA212))</f>
        <v/>
      </c>
      <c r="D212" s="18" t="str">
        <f>IF($AA212=0,"",INDEX('13 - DATA &amp; LISTS'!$AB$30:$AB$436,$AA212))</f>
        <v/>
      </c>
      <c r="E212" s="18" t="str">
        <f>IF($AA212=0,"",INDEX('13 - DATA &amp; LISTS'!$AC$30:$AC$436,$AA212))</f>
        <v/>
      </c>
      <c r="F212" s="18" t="str">
        <f>IF($AA212=0,"",INDEX('13 - DATA &amp; LISTS'!$AD$30:$AD$436,$AA212))</f>
        <v/>
      </c>
      <c r="G212" s="18" t="str">
        <f>IF($AA212=0,"",INDEX('13 - DATA &amp; LISTS'!$AE$30:$AE$436,$AA212))</f>
        <v/>
      </c>
      <c r="H212" s="19" t="str">
        <f>IF($AA212=0,"",INDEX('13 - DATA &amp; LISTS'!$AF$30:$AF$436,$AA212))</f>
        <v/>
      </c>
      <c r="I212" s="18" t="str">
        <f>IF($AA212=0,"",INDEX('13 - DATA &amp; LISTS'!$AG$30:$AG$436,$AA212))</f>
        <v/>
      </c>
      <c r="J212" s="18" t="str">
        <f>IF($AA212=0,"",INDEX('13 - DATA &amp; LISTS'!$AH$30:$AH$436,$AA212))</f>
        <v/>
      </c>
      <c r="K212" s="18" t="str">
        <f>IF($AA212=0,"",INDEX('13 - DATA &amp; LISTS'!$AI$30:$AI$436,$AA212))</f>
        <v/>
      </c>
      <c r="AA212">
        <f>IF(COUNTIF('13 - DATA &amp; LISTS'!$AK$30:$AK$436,"&lt;999999999999")&lt;204,0,MATCH(SMALL('13 - DATA &amp; LISTS'!$AK$30:$AK$436,204),'13 - DATA &amp; LISTS'!$AK$30:$AK$436,0))</f>
        <v>0</v>
      </c>
    </row>
    <row r="213" spans="1:27" ht="63.95" customHeight="1">
      <c r="A213" s="18" t="str">
        <f>IF($AA213=0,"",INDEX('13 - DATA &amp; LISTS'!$Y$30:$Y$436,$AA213))</f>
        <v/>
      </c>
      <c r="B213" s="18" t="str">
        <f>IF($AA213=0,"",INDEX('13 - DATA &amp; LISTS'!$Z$30:$Z$436,$AA213))</f>
        <v/>
      </c>
      <c r="C213" s="18" t="str">
        <f>IF($AA213=0,"",INDEX('13 - DATA &amp; LISTS'!$AA$30:$AA$436,$AA213))</f>
        <v/>
      </c>
      <c r="D213" s="18" t="str">
        <f>IF($AA213=0,"",INDEX('13 - DATA &amp; LISTS'!$AB$30:$AB$436,$AA213))</f>
        <v/>
      </c>
      <c r="E213" s="18" t="str">
        <f>IF($AA213=0,"",INDEX('13 - DATA &amp; LISTS'!$AC$30:$AC$436,$AA213))</f>
        <v/>
      </c>
      <c r="F213" s="18" t="str">
        <f>IF($AA213=0,"",INDEX('13 - DATA &amp; LISTS'!$AD$30:$AD$436,$AA213))</f>
        <v/>
      </c>
      <c r="G213" s="18" t="str">
        <f>IF($AA213=0,"",INDEX('13 - DATA &amp; LISTS'!$AE$30:$AE$436,$AA213))</f>
        <v/>
      </c>
      <c r="H213" s="19" t="str">
        <f>IF($AA213=0,"",INDEX('13 - DATA &amp; LISTS'!$AF$30:$AF$436,$AA213))</f>
        <v/>
      </c>
      <c r="I213" s="18" t="str">
        <f>IF($AA213=0,"",INDEX('13 - DATA &amp; LISTS'!$AG$30:$AG$436,$AA213))</f>
        <v/>
      </c>
      <c r="J213" s="18" t="str">
        <f>IF($AA213=0,"",INDEX('13 - DATA &amp; LISTS'!$AH$30:$AH$436,$AA213))</f>
        <v/>
      </c>
      <c r="K213" s="18" t="str">
        <f>IF($AA213=0,"",INDEX('13 - DATA &amp; LISTS'!$AI$30:$AI$436,$AA213))</f>
        <v/>
      </c>
      <c r="AA213">
        <f>IF(COUNTIF('13 - DATA &amp; LISTS'!$AK$30:$AK$436,"&lt;999999999999")&lt;205,0,MATCH(SMALL('13 - DATA &amp; LISTS'!$AK$30:$AK$436,205),'13 - DATA &amp; LISTS'!$AK$30:$AK$436,0))</f>
        <v>0</v>
      </c>
    </row>
    <row r="214" spans="1:27" ht="63.95" customHeight="1">
      <c r="A214" s="18" t="str">
        <f>IF($AA214=0,"",INDEX('13 - DATA &amp; LISTS'!$Y$30:$Y$436,$AA214))</f>
        <v/>
      </c>
      <c r="B214" s="18" t="str">
        <f>IF($AA214=0,"",INDEX('13 - DATA &amp; LISTS'!$Z$30:$Z$436,$AA214))</f>
        <v/>
      </c>
      <c r="C214" s="18" t="str">
        <f>IF($AA214=0,"",INDEX('13 - DATA &amp; LISTS'!$AA$30:$AA$436,$AA214))</f>
        <v/>
      </c>
      <c r="D214" s="18" t="str">
        <f>IF($AA214=0,"",INDEX('13 - DATA &amp; LISTS'!$AB$30:$AB$436,$AA214))</f>
        <v/>
      </c>
      <c r="E214" s="18" t="str">
        <f>IF($AA214=0,"",INDEX('13 - DATA &amp; LISTS'!$AC$30:$AC$436,$AA214))</f>
        <v/>
      </c>
      <c r="F214" s="18" t="str">
        <f>IF($AA214=0,"",INDEX('13 - DATA &amp; LISTS'!$AD$30:$AD$436,$AA214))</f>
        <v/>
      </c>
      <c r="G214" s="18" t="str">
        <f>IF($AA214=0,"",INDEX('13 - DATA &amp; LISTS'!$AE$30:$AE$436,$AA214))</f>
        <v/>
      </c>
      <c r="H214" s="19" t="str">
        <f>IF($AA214=0,"",INDEX('13 - DATA &amp; LISTS'!$AF$30:$AF$436,$AA214))</f>
        <v/>
      </c>
      <c r="I214" s="18" t="str">
        <f>IF($AA214=0,"",INDEX('13 - DATA &amp; LISTS'!$AG$30:$AG$436,$AA214))</f>
        <v/>
      </c>
      <c r="J214" s="18" t="str">
        <f>IF($AA214=0,"",INDEX('13 - DATA &amp; LISTS'!$AH$30:$AH$436,$AA214))</f>
        <v/>
      </c>
      <c r="K214" s="18" t="str">
        <f>IF($AA214=0,"",INDEX('13 - DATA &amp; LISTS'!$AI$30:$AI$436,$AA214))</f>
        <v/>
      </c>
      <c r="AA214">
        <f>IF(COUNTIF('13 - DATA &amp; LISTS'!$AK$30:$AK$436,"&lt;999999999999")&lt;206,0,MATCH(SMALL('13 - DATA &amp; LISTS'!$AK$30:$AK$436,206),'13 - DATA &amp; LISTS'!$AK$30:$AK$436,0))</f>
        <v>0</v>
      </c>
    </row>
    <row r="215" spans="1:27" ht="63.95" customHeight="1">
      <c r="A215" s="18" t="str">
        <f>IF($AA215=0,"",INDEX('13 - DATA &amp; LISTS'!$Y$30:$Y$436,$AA215))</f>
        <v/>
      </c>
      <c r="B215" s="18" t="str">
        <f>IF($AA215=0,"",INDEX('13 - DATA &amp; LISTS'!$Z$30:$Z$436,$AA215))</f>
        <v/>
      </c>
      <c r="C215" s="18" t="str">
        <f>IF($AA215=0,"",INDEX('13 - DATA &amp; LISTS'!$AA$30:$AA$436,$AA215))</f>
        <v/>
      </c>
      <c r="D215" s="18" t="str">
        <f>IF($AA215=0,"",INDEX('13 - DATA &amp; LISTS'!$AB$30:$AB$436,$AA215))</f>
        <v/>
      </c>
      <c r="E215" s="18" t="str">
        <f>IF($AA215=0,"",INDEX('13 - DATA &amp; LISTS'!$AC$30:$AC$436,$AA215))</f>
        <v/>
      </c>
      <c r="F215" s="18" t="str">
        <f>IF($AA215=0,"",INDEX('13 - DATA &amp; LISTS'!$AD$30:$AD$436,$AA215))</f>
        <v/>
      </c>
      <c r="G215" s="18" t="str">
        <f>IF($AA215=0,"",INDEX('13 - DATA &amp; LISTS'!$AE$30:$AE$436,$AA215))</f>
        <v/>
      </c>
      <c r="H215" s="19" t="str">
        <f>IF($AA215=0,"",INDEX('13 - DATA &amp; LISTS'!$AF$30:$AF$436,$AA215))</f>
        <v/>
      </c>
      <c r="I215" s="18" t="str">
        <f>IF($AA215=0,"",INDEX('13 - DATA &amp; LISTS'!$AG$30:$AG$436,$AA215))</f>
        <v/>
      </c>
      <c r="J215" s="18" t="str">
        <f>IF($AA215=0,"",INDEX('13 - DATA &amp; LISTS'!$AH$30:$AH$436,$AA215))</f>
        <v/>
      </c>
      <c r="K215" s="18" t="str">
        <f>IF($AA215=0,"",INDEX('13 - DATA &amp; LISTS'!$AI$30:$AI$436,$AA215))</f>
        <v/>
      </c>
      <c r="AA215">
        <f>IF(COUNTIF('13 - DATA &amp; LISTS'!$AK$30:$AK$436,"&lt;999999999999")&lt;207,0,MATCH(SMALL('13 - DATA &amp; LISTS'!$AK$30:$AK$436,207),'13 - DATA &amp; LISTS'!$AK$30:$AK$436,0))</f>
        <v>0</v>
      </c>
    </row>
    <row r="216" spans="1:27" ht="63.95" customHeight="1">
      <c r="A216" s="18" t="str">
        <f>IF($AA216=0,"",INDEX('13 - DATA &amp; LISTS'!$Y$30:$Y$436,$AA216))</f>
        <v/>
      </c>
      <c r="B216" s="18" t="str">
        <f>IF($AA216=0,"",INDEX('13 - DATA &amp; LISTS'!$Z$30:$Z$436,$AA216))</f>
        <v/>
      </c>
      <c r="C216" s="18" t="str">
        <f>IF($AA216=0,"",INDEX('13 - DATA &amp; LISTS'!$AA$30:$AA$436,$AA216))</f>
        <v/>
      </c>
      <c r="D216" s="18" t="str">
        <f>IF($AA216=0,"",INDEX('13 - DATA &amp; LISTS'!$AB$30:$AB$436,$AA216))</f>
        <v/>
      </c>
      <c r="E216" s="18" t="str">
        <f>IF($AA216=0,"",INDEX('13 - DATA &amp; LISTS'!$AC$30:$AC$436,$AA216))</f>
        <v/>
      </c>
      <c r="F216" s="18" t="str">
        <f>IF($AA216=0,"",INDEX('13 - DATA &amp; LISTS'!$AD$30:$AD$436,$AA216))</f>
        <v/>
      </c>
      <c r="G216" s="18" t="str">
        <f>IF($AA216=0,"",INDEX('13 - DATA &amp; LISTS'!$AE$30:$AE$436,$AA216))</f>
        <v/>
      </c>
      <c r="H216" s="19" t="str">
        <f>IF($AA216=0,"",INDEX('13 - DATA &amp; LISTS'!$AF$30:$AF$436,$AA216))</f>
        <v/>
      </c>
      <c r="I216" s="18" t="str">
        <f>IF($AA216=0,"",INDEX('13 - DATA &amp; LISTS'!$AG$30:$AG$436,$AA216))</f>
        <v/>
      </c>
      <c r="J216" s="18" t="str">
        <f>IF($AA216=0,"",INDEX('13 - DATA &amp; LISTS'!$AH$30:$AH$436,$AA216))</f>
        <v/>
      </c>
      <c r="K216" s="18" t="str">
        <f>IF($AA216=0,"",INDEX('13 - DATA &amp; LISTS'!$AI$30:$AI$436,$AA216))</f>
        <v/>
      </c>
      <c r="AA216">
        <f>IF(COUNTIF('13 - DATA &amp; LISTS'!$AK$30:$AK$436,"&lt;999999999999")&lt;208,0,MATCH(SMALL('13 - DATA &amp; LISTS'!$AK$30:$AK$436,208),'13 - DATA &amp; LISTS'!$AK$30:$AK$436,0))</f>
        <v>0</v>
      </c>
    </row>
    <row r="217" spans="1:27" ht="63.95" customHeight="1">
      <c r="A217" s="18" t="str">
        <f>IF($AA217=0,"",INDEX('13 - DATA &amp; LISTS'!$Y$30:$Y$436,$AA217))</f>
        <v/>
      </c>
      <c r="B217" s="18" t="str">
        <f>IF($AA217=0,"",INDEX('13 - DATA &amp; LISTS'!$Z$30:$Z$436,$AA217))</f>
        <v/>
      </c>
      <c r="C217" s="18" t="str">
        <f>IF($AA217=0,"",INDEX('13 - DATA &amp; LISTS'!$AA$30:$AA$436,$AA217))</f>
        <v/>
      </c>
      <c r="D217" s="18" t="str">
        <f>IF($AA217=0,"",INDEX('13 - DATA &amp; LISTS'!$AB$30:$AB$436,$AA217))</f>
        <v/>
      </c>
      <c r="E217" s="18" t="str">
        <f>IF($AA217=0,"",INDEX('13 - DATA &amp; LISTS'!$AC$30:$AC$436,$AA217))</f>
        <v/>
      </c>
      <c r="F217" s="18" t="str">
        <f>IF($AA217=0,"",INDEX('13 - DATA &amp; LISTS'!$AD$30:$AD$436,$AA217))</f>
        <v/>
      </c>
      <c r="G217" s="18" t="str">
        <f>IF($AA217=0,"",INDEX('13 - DATA &amp; LISTS'!$AE$30:$AE$436,$AA217))</f>
        <v/>
      </c>
      <c r="H217" s="19" t="str">
        <f>IF($AA217=0,"",INDEX('13 - DATA &amp; LISTS'!$AF$30:$AF$436,$AA217))</f>
        <v/>
      </c>
      <c r="I217" s="18" t="str">
        <f>IF($AA217=0,"",INDEX('13 - DATA &amp; LISTS'!$AG$30:$AG$436,$AA217))</f>
        <v/>
      </c>
      <c r="J217" s="18" t="str">
        <f>IF($AA217=0,"",INDEX('13 - DATA &amp; LISTS'!$AH$30:$AH$436,$AA217))</f>
        <v/>
      </c>
      <c r="K217" s="18" t="str">
        <f>IF($AA217=0,"",INDEX('13 - DATA &amp; LISTS'!$AI$30:$AI$436,$AA217))</f>
        <v/>
      </c>
      <c r="AA217">
        <f>IF(COUNTIF('13 - DATA &amp; LISTS'!$AK$30:$AK$436,"&lt;999999999999")&lt;209,0,MATCH(SMALL('13 - DATA &amp; LISTS'!$AK$30:$AK$436,209),'13 - DATA &amp; LISTS'!$AK$30:$AK$436,0))</f>
        <v>0</v>
      </c>
    </row>
    <row r="218" spans="1:27" ht="63.95" customHeight="1">
      <c r="A218" s="18" t="str">
        <f>IF($AA218=0,"",INDEX('13 - DATA &amp; LISTS'!$Y$30:$Y$436,$AA218))</f>
        <v/>
      </c>
      <c r="B218" s="18" t="str">
        <f>IF($AA218=0,"",INDEX('13 - DATA &amp; LISTS'!$Z$30:$Z$436,$AA218))</f>
        <v/>
      </c>
      <c r="C218" s="18" t="str">
        <f>IF($AA218=0,"",INDEX('13 - DATA &amp; LISTS'!$AA$30:$AA$436,$AA218))</f>
        <v/>
      </c>
      <c r="D218" s="18" t="str">
        <f>IF($AA218=0,"",INDEX('13 - DATA &amp; LISTS'!$AB$30:$AB$436,$AA218))</f>
        <v/>
      </c>
      <c r="E218" s="18" t="str">
        <f>IF($AA218=0,"",INDEX('13 - DATA &amp; LISTS'!$AC$30:$AC$436,$AA218))</f>
        <v/>
      </c>
      <c r="F218" s="18" t="str">
        <f>IF($AA218=0,"",INDEX('13 - DATA &amp; LISTS'!$AD$30:$AD$436,$AA218))</f>
        <v/>
      </c>
      <c r="G218" s="18" t="str">
        <f>IF($AA218=0,"",INDEX('13 - DATA &amp; LISTS'!$AE$30:$AE$436,$AA218))</f>
        <v/>
      </c>
      <c r="H218" s="19" t="str">
        <f>IF($AA218=0,"",INDEX('13 - DATA &amp; LISTS'!$AF$30:$AF$436,$AA218))</f>
        <v/>
      </c>
      <c r="I218" s="18" t="str">
        <f>IF($AA218=0,"",INDEX('13 - DATA &amp; LISTS'!$AG$30:$AG$436,$AA218))</f>
        <v/>
      </c>
      <c r="J218" s="18" t="str">
        <f>IF($AA218=0,"",INDEX('13 - DATA &amp; LISTS'!$AH$30:$AH$436,$AA218))</f>
        <v/>
      </c>
      <c r="K218" s="18" t="str">
        <f>IF($AA218=0,"",INDEX('13 - DATA &amp; LISTS'!$AI$30:$AI$436,$AA218))</f>
        <v/>
      </c>
      <c r="AA218">
        <f>IF(COUNTIF('13 - DATA &amp; LISTS'!$AK$30:$AK$436,"&lt;999999999999")&lt;210,0,MATCH(SMALL('13 - DATA &amp; LISTS'!$AK$30:$AK$436,210),'13 - DATA &amp; LISTS'!$AK$30:$AK$436,0))</f>
        <v>0</v>
      </c>
    </row>
    <row r="219" spans="1:27" ht="63.95" customHeight="1">
      <c r="A219" s="18" t="str">
        <f>IF($AA219=0,"",INDEX('13 - DATA &amp; LISTS'!$Y$30:$Y$436,$AA219))</f>
        <v/>
      </c>
      <c r="B219" s="18" t="str">
        <f>IF($AA219=0,"",INDEX('13 - DATA &amp; LISTS'!$Z$30:$Z$436,$AA219))</f>
        <v/>
      </c>
      <c r="C219" s="18" t="str">
        <f>IF($AA219=0,"",INDEX('13 - DATA &amp; LISTS'!$AA$30:$AA$436,$AA219))</f>
        <v/>
      </c>
      <c r="D219" s="18" t="str">
        <f>IF($AA219=0,"",INDEX('13 - DATA &amp; LISTS'!$AB$30:$AB$436,$AA219))</f>
        <v/>
      </c>
      <c r="E219" s="18" t="str">
        <f>IF($AA219=0,"",INDEX('13 - DATA &amp; LISTS'!$AC$30:$AC$436,$AA219))</f>
        <v/>
      </c>
      <c r="F219" s="18" t="str">
        <f>IF($AA219=0,"",INDEX('13 - DATA &amp; LISTS'!$AD$30:$AD$436,$AA219))</f>
        <v/>
      </c>
      <c r="G219" s="18" t="str">
        <f>IF($AA219=0,"",INDEX('13 - DATA &amp; LISTS'!$AE$30:$AE$436,$AA219))</f>
        <v/>
      </c>
      <c r="H219" s="19" t="str">
        <f>IF($AA219=0,"",INDEX('13 - DATA &amp; LISTS'!$AF$30:$AF$436,$AA219))</f>
        <v/>
      </c>
      <c r="I219" s="18" t="str">
        <f>IF($AA219=0,"",INDEX('13 - DATA &amp; LISTS'!$AG$30:$AG$436,$AA219))</f>
        <v/>
      </c>
      <c r="J219" s="18" t="str">
        <f>IF($AA219=0,"",INDEX('13 - DATA &amp; LISTS'!$AH$30:$AH$436,$AA219))</f>
        <v/>
      </c>
      <c r="K219" s="18" t="str">
        <f>IF($AA219=0,"",INDEX('13 - DATA &amp; LISTS'!$AI$30:$AI$436,$AA219))</f>
        <v/>
      </c>
      <c r="AA219">
        <f>IF(COUNTIF('13 - DATA &amp; LISTS'!$AK$30:$AK$436,"&lt;999999999999")&lt;211,0,MATCH(SMALL('13 - DATA &amp; LISTS'!$AK$30:$AK$436,211),'13 - DATA &amp; LISTS'!$AK$30:$AK$436,0))</f>
        <v>0</v>
      </c>
    </row>
    <row r="220" spans="1:27" ht="63.95" customHeight="1">
      <c r="A220" s="18" t="str">
        <f>IF($AA220=0,"",INDEX('13 - DATA &amp; LISTS'!$Y$30:$Y$436,$AA220))</f>
        <v/>
      </c>
      <c r="B220" s="18" t="str">
        <f>IF($AA220=0,"",INDEX('13 - DATA &amp; LISTS'!$Z$30:$Z$436,$AA220))</f>
        <v/>
      </c>
      <c r="C220" s="18" t="str">
        <f>IF($AA220=0,"",INDEX('13 - DATA &amp; LISTS'!$AA$30:$AA$436,$AA220))</f>
        <v/>
      </c>
      <c r="D220" s="18" t="str">
        <f>IF($AA220=0,"",INDEX('13 - DATA &amp; LISTS'!$AB$30:$AB$436,$AA220))</f>
        <v/>
      </c>
      <c r="E220" s="18" t="str">
        <f>IF($AA220=0,"",INDEX('13 - DATA &amp; LISTS'!$AC$30:$AC$436,$AA220))</f>
        <v/>
      </c>
      <c r="F220" s="18" t="str">
        <f>IF($AA220=0,"",INDEX('13 - DATA &amp; LISTS'!$AD$30:$AD$436,$AA220))</f>
        <v/>
      </c>
      <c r="G220" s="18" t="str">
        <f>IF($AA220=0,"",INDEX('13 - DATA &amp; LISTS'!$AE$30:$AE$436,$AA220))</f>
        <v/>
      </c>
      <c r="H220" s="19" t="str">
        <f>IF($AA220=0,"",INDEX('13 - DATA &amp; LISTS'!$AF$30:$AF$436,$AA220))</f>
        <v/>
      </c>
      <c r="I220" s="18" t="str">
        <f>IF($AA220=0,"",INDEX('13 - DATA &amp; LISTS'!$AG$30:$AG$436,$AA220))</f>
        <v/>
      </c>
      <c r="J220" s="18" t="str">
        <f>IF($AA220=0,"",INDEX('13 - DATA &amp; LISTS'!$AH$30:$AH$436,$AA220))</f>
        <v/>
      </c>
      <c r="K220" s="18" t="str">
        <f>IF($AA220=0,"",INDEX('13 - DATA &amp; LISTS'!$AI$30:$AI$436,$AA220))</f>
        <v/>
      </c>
      <c r="AA220">
        <f>IF(COUNTIF('13 - DATA &amp; LISTS'!$AK$30:$AK$436,"&lt;999999999999")&lt;212,0,MATCH(SMALL('13 - DATA &amp; LISTS'!$AK$30:$AK$436,212),'13 - DATA &amp; LISTS'!$AK$30:$AK$436,0))</f>
        <v>0</v>
      </c>
    </row>
    <row r="221" spans="1:27" ht="63.95" customHeight="1">
      <c r="A221" s="18" t="str">
        <f>IF($AA221=0,"",INDEX('13 - DATA &amp; LISTS'!$Y$30:$Y$436,$AA221))</f>
        <v/>
      </c>
      <c r="B221" s="18" t="str">
        <f>IF($AA221=0,"",INDEX('13 - DATA &amp; LISTS'!$Z$30:$Z$436,$AA221))</f>
        <v/>
      </c>
      <c r="C221" s="18" t="str">
        <f>IF($AA221=0,"",INDEX('13 - DATA &amp; LISTS'!$AA$30:$AA$436,$AA221))</f>
        <v/>
      </c>
      <c r="D221" s="18" t="str">
        <f>IF($AA221=0,"",INDEX('13 - DATA &amp; LISTS'!$AB$30:$AB$436,$AA221))</f>
        <v/>
      </c>
      <c r="E221" s="18" t="str">
        <f>IF($AA221=0,"",INDEX('13 - DATA &amp; LISTS'!$AC$30:$AC$436,$AA221))</f>
        <v/>
      </c>
      <c r="F221" s="18" t="str">
        <f>IF($AA221=0,"",INDEX('13 - DATA &amp; LISTS'!$AD$30:$AD$436,$AA221))</f>
        <v/>
      </c>
      <c r="G221" s="18" t="str">
        <f>IF($AA221=0,"",INDEX('13 - DATA &amp; LISTS'!$AE$30:$AE$436,$AA221))</f>
        <v/>
      </c>
      <c r="H221" s="19" t="str">
        <f>IF($AA221=0,"",INDEX('13 - DATA &amp; LISTS'!$AF$30:$AF$436,$AA221))</f>
        <v/>
      </c>
      <c r="I221" s="18" t="str">
        <f>IF($AA221=0,"",INDEX('13 - DATA &amp; LISTS'!$AG$30:$AG$436,$AA221))</f>
        <v/>
      </c>
      <c r="J221" s="18" t="str">
        <f>IF($AA221=0,"",INDEX('13 - DATA &amp; LISTS'!$AH$30:$AH$436,$AA221))</f>
        <v/>
      </c>
      <c r="K221" s="18" t="str">
        <f>IF($AA221=0,"",INDEX('13 - DATA &amp; LISTS'!$AI$30:$AI$436,$AA221))</f>
        <v/>
      </c>
      <c r="AA221">
        <f>IF(COUNTIF('13 - DATA &amp; LISTS'!$AK$30:$AK$436,"&lt;999999999999")&lt;213,0,MATCH(SMALL('13 - DATA &amp; LISTS'!$AK$30:$AK$436,213),'13 - DATA &amp; LISTS'!$AK$30:$AK$436,0))</f>
        <v>0</v>
      </c>
    </row>
    <row r="222" spans="1:27" ht="63.95" customHeight="1">
      <c r="A222" s="18" t="str">
        <f>IF($AA222=0,"",INDEX('13 - DATA &amp; LISTS'!$Y$30:$Y$436,$AA222))</f>
        <v/>
      </c>
      <c r="B222" s="18" t="str">
        <f>IF($AA222=0,"",INDEX('13 - DATA &amp; LISTS'!$Z$30:$Z$436,$AA222))</f>
        <v/>
      </c>
      <c r="C222" s="18" t="str">
        <f>IF($AA222=0,"",INDEX('13 - DATA &amp; LISTS'!$AA$30:$AA$436,$AA222))</f>
        <v/>
      </c>
      <c r="D222" s="18" t="str">
        <f>IF($AA222=0,"",INDEX('13 - DATA &amp; LISTS'!$AB$30:$AB$436,$AA222))</f>
        <v/>
      </c>
      <c r="E222" s="18" t="str">
        <f>IF($AA222=0,"",INDEX('13 - DATA &amp; LISTS'!$AC$30:$AC$436,$AA222))</f>
        <v/>
      </c>
      <c r="F222" s="18" t="str">
        <f>IF($AA222=0,"",INDEX('13 - DATA &amp; LISTS'!$AD$30:$AD$436,$AA222))</f>
        <v/>
      </c>
      <c r="G222" s="18" t="str">
        <f>IF($AA222=0,"",INDEX('13 - DATA &amp; LISTS'!$AE$30:$AE$436,$AA222))</f>
        <v/>
      </c>
      <c r="H222" s="19" t="str">
        <f>IF($AA222=0,"",INDEX('13 - DATA &amp; LISTS'!$AF$30:$AF$436,$AA222))</f>
        <v/>
      </c>
      <c r="I222" s="18" t="str">
        <f>IF($AA222=0,"",INDEX('13 - DATA &amp; LISTS'!$AG$30:$AG$436,$AA222))</f>
        <v/>
      </c>
      <c r="J222" s="18" t="str">
        <f>IF($AA222=0,"",INDEX('13 - DATA &amp; LISTS'!$AH$30:$AH$436,$AA222))</f>
        <v/>
      </c>
      <c r="K222" s="18" t="str">
        <f>IF($AA222=0,"",INDEX('13 - DATA &amp; LISTS'!$AI$30:$AI$436,$AA222))</f>
        <v/>
      </c>
      <c r="AA222">
        <f>IF(COUNTIF('13 - DATA &amp; LISTS'!$AK$30:$AK$436,"&lt;999999999999")&lt;214,0,MATCH(SMALL('13 - DATA &amp; LISTS'!$AK$30:$AK$436,214),'13 - DATA &amp; LISTS'!$AK$30:$AK$436,0))</f>
        <v>0</v>
      </c>
    </row>
    <row r="223" spans="1:27" ht="63.95" customHeight="1">
      <c r="A223" s="18" t="str">
        <f>IF($AA223=0,"",INDEX('13 - DATA &amp; LISTS'!$Y$30:$Y$436,$AA223))</f>
        <v/>
      </c>
      <c r="B223" s="18" t="str">
        <f>IF($AA223=0,"",INDEX('13 - DATA &amp; LISTS'!$Z$30:$Z$436,$AA223))</f>
        <v/>
      </c>
      <c r="C223" s="18" t="str">
        <f>IF($AA223=0,"",INDEX('13 - DATA &amp; LISTS'!$AA$30:$AA$436,$AA223))</f>
        <v/>
      </c>
      <c r="D223" s="18" t="str">
        <f>IF($AA223=0,"",INDEX('13 - DATA &amp; LISTS'!$AB$30:$AB$436,$AA223))</f>
        <v/>
      </c>
      <c r="E223" s="18" t="str">
        <f>IF($AA223=0,"",INDEX('13 - DATA &amp; LISTS'!$AC$30:$AC$436,$AA223))</f>
        <v/>
      </c>
      <c r="F223" s="18" t="str">
        <f>IF($AA223=0,"",INDEX('13 - DATA &amp; LISTS'!$AD$30:$AD$436,$AA223))</f>
        <v/>
      </c>
      <c r="G223" s="18" t="str">
        <f>IF($AA223=0,"",INDEX('13 - DATA &amp; LISTS'!$AE$30:$AE$436,$AA223))</f>
        <v/>
      </c>
      <c r="H223" s="19" t="str">
        <f>IF($AA223=0,"",INDEX('13 - DATA &amp; LISTS'!$AF$30:$AF$436,$AA223))</f>
        <v/>
      </c>
      <c r="I223" s="18" t="str">
        <f>IF($AA223=0,"",INDEX('13 - DATA &amp; LISTS'!$AG$30:$AG$436,$AA223))</f>
        <v/>
      </c>
      <c r="J223" s="18" t="str">
        <f>IF($AA223=0,"",INDEX('13 - DATA &amp; LISTS'!$AH$30:$AH$436,$AA223))</f>
        <v/>
      </c>
      <c r="K223" s="18" t="str">
        <f>IF($AA223=0,"",INDEX('13 - DATA &amp; LISTS'!$AI$30:$AI$436,$AA223))</f>
        <v/>
      </c>
      <c r="AA223">
        <f>IF(COUNTIF('13 - DATA &amp; LISTS'!$AK$30:$AK$436,"&lt;999999999999")&lt;215,0,MATCH(SMALL('13 - DATA &amp; LISTS'!$AK$30:$AK$436,215),'13 - DATA &amp; LISTS'!$AK$30:$AK$436,0))</f>
        <v>0</v>
      </c>
    </row>
    <row r="224" spans="1:27" ht="63.95" customHeight="1">
      <c r="A224" s="18" t="str">
        <f>IF($AA224=0,"",INDEX('13 - DATA &amp; LISTS'!$Y$30:$Y$436,$AA224))</f>
        <v/>
      </c>
      <c r="B224" s="18" t="str">
        <f>IF($AA224=0,"",INDEX('13 - DATA &amp; LISTS'!$Z$30:$Z$436,$AA224))</f>
        <v/>
      </c>
      <c r="C224" s="18" t="str">
        <f>IF($AA224=0,"",INDEX('13 - DATA &amp; LISTS'!$AA$30:$AA$436,$AA224))</f>
        <v/>
      </c>
      <c r="D224" s="18" t="str">
        <f>IF($AA224=0,"",INDEX('13 - DATA &amp; LISTS'!$AB$30:$AB$436,$AA224))</f>
        <v/>
      </c>
      <c r="E224" s="18" t="str">
        <f>IF($AA224=0,"",INDEX('13 - DATA &amp; LISTS'!$AC$30:$AC$436,$AA224))</f>
        <v/>
      </c>
      <c r="F224" s="18" t="str">
        <f>IF($AA224=0,"",INDEX('13 - DATA &amp; LISTS'!$AD$30:$AD$436,$AA224))</f>
        <v/>
      </c>
      <c r="G224" s="18" t="str">
        <f>IF($AA224=0,"",INDEX('13 - DATA &amp; LISTS'!$AE$30:$AE$436,$AA224))</f>
        <v/>
      </c>
      <c r="H224" s="19" t="str">
        <f>IF($AA224=0,"",INDEX('13 - DATA &amp; LISTS'!$AF$30:$AF$436,$AA224))</f>
        <v/>
      </c>
      <c r="I224" s="18" t="str">
        <f>IF($AA224=0,"",INDEX('13 - DATA &amp; LISTS'!$AG$30:$AG$436,$AA224))</f>
        <v/>
      </c>
      <c r="J224" s="18" t="str">
        <f>IF($AA224=0,"",INDEX('13 - DATA &amp; LISTS'!$AH$30:$AH$436,$AA224))</f>
        <v/>
      </c>
      <c r="K224" s="18" t="str">
        <f>IF($AA224=0,"",INDEX('13 - DATA &amp; LISTS'!$AI$30:$AI$436,$AA224))</f>
        <v/>
      </c>
      <c r="AA224">
        <f>IF(COUNTIF('13 - DATA &amp; LISTS'!$AK$30:$AK$436,"&lt;999999999999")&lt;216,0,MATCH(SMALL('13 - DATA &amp; LISTS'!$AK$30:$AK$436,216),'13 - DATA &amp; LISTS'!$AK$30:$AK$436,0))</f>
        <v>0</v>
      </c>
    </row>
    <row r="225" spans="1:27" ht="63.95" customHeight="1">
      <c r="A225" s="18" t="str">
        <f>IF($AA225=0,"",INDEX('13 - DATA &amp; LISTS'!$Y$30:$Y$436,$AA225))</f>
        <v/>
      </c>
      <c r="B225" s="18" t="str">
        <f>IF($AA225=0,"",INDEX('13 - DATA &amp; LISTS'!$Z$30:$Z$436,$AA225))</f>
        <v/>
      </c>
      <c r="C225" s="18" t="str">
        <f>IF($AA225=0,"",INDEX('13 - DATA &amp; LISTS'!$AA$30:$AA$436,$AA225))</f>
        <v/>
      </c>
      <c r="D225" s="18" t="str">
        <f>IF($AA225=0,"",INDEX('13 - DATA &amp; LISTS'!$AB$30:$AB$436,$AA225))</f>
        <v/>
      </c>
      <c r="E225" s="18" t="str">
        <f>IF($AA225=0,"",INDEX('13 - DATA &amp; LISTS'!$AC$30:$AC$436,$AA225))</f>
        <v/>
      </c>
      <c r="F225" s="18" t="str">
        <f>IF($AA225=0,"",INDEX('13 - DATA &amp; LISTS'!$AD$30:$AD$436,$AA225))</f>
        <v/>
      </c>
      <c r="G225" s="18" t="str">
        <f>IF($AA225=0,"",INDEX('13 - DATA &amp; LISTS'!$AE$30:$AE$436,$AA225))</f>
        <v/>
      </c>
      <c r="H225" s="19" t="str">
        <f>IF($AA225=0,"",INDEX('13 - DATA &amp; LISTS'!$AF$30:$AF$436,$AA225))</f>
        <v/>
      </c>
      <c r="I225" s="18" t="str">
        <f>IF($AA225=0,"",INDEX('13 - DATA &amp; LISTS'!$AG$30:$AG$436,$AA225))</f>
        <v/>
      </c>
      <c r="J225" s="18" t="str">
        <f>IF($AA225=0,"",INDEX('13 - DATA &amp; LISTS'!$AH$30:$AH$436,$AA225))</f>
        <v/>
      </c>
      <c r="K225" s="18" t="str">
        <f>IF($AA225=0,"",INDEX('13 - DATA &amp; LISTS'!$AI$30:$AI$436,$AA225))</f>
        <v/>
      </c>
      <c r="AA225">
        <f>IF(COUNTIF('13 - DATA &amp; LISTS'!$AK$30:$AK$436,"&lt;999999999999")&lt;217,0,MATCH(SMALL('13 - DATA &amp; LISTS'!$AK$30:$AK$436,217),'13 - DATA &amp; LISTS'!$AK$30:$AK$436,0))</f>
        <v>0</v>
      </c>
    </row>
    <row r="226" spans="1:27" ht="63.95" customHeight="1">
      <c r="A226" s="18" t="str">
        <f>IF($AA226=0,"",INDEX('13 - DATA &amp; LISTS'!$Y$30:$Y$436,$AA226))</f>
        <v/>
      </c>
      <c r="B226" s="18" t="str">
        <f>IF($AA226=0,"",INDEX('13 - DATA &amp; LISTS'!$Z$30:$Z$436,$AA226))</f>
        <v/>
      </c>
      <c r="C226" s="18" t="str">
        <f>IF($AA226=0,"",INDEX('13 - DATA &amp; LISTS'!$AA$30:$AA$436,$AA226))</f>
        <v/>
      </c>
      <c r="D226" s="18" t="str">
        <f>IF($AA226=0,"",INDEX('13 - DATA &amp; LISTS'!$AB$30:$AB$436,$AA226))</f>
        <v/>
      </c>
      <c r="E226" s="18" t="str">
        <f>IF($AA226=0,"",INDEX('13 - DATA &amp; LISTS'!$AC$30:$AC$436,$AA226))</f>
        <v/>
      </c>
      <c r="F226" s="18" t="str">
        <f>IF($AA226=0,"",INDEX('13 - DATA &amp; LISTS'!$AD$30:$AD$436,$AA226))</f>
        <v/>
      </c>
      <c r="G226" s="18" t="str">
        <f>IF($AA226=0,"",INDEX('13 - DATA &amp; LISTS'!$AE$30:$AE$436,$AA226))</f>
        <v/>
      </c>
      <c r="H226" s="19" t="str">
        <f>IF($AA226=0,"",INDEX('13 - DATA &amp; LISTS'!$AF$30:$AF$436,$AA226))</f>
        <v/>
      </c>
      <c r="I226" s="18" t="str">
        <f>IF($AA226=0,"",INDEX('13 - DATA &amp; LISTS'!$AG$30:$AG$436,$AA226))</f>
        <v/>
      </c>
      <c r="J226" s="18" t="str">
        <f>IF($AA226=0,"",INDEX('13 - DATA &amp; LISTS'!$AH$30:$AH$436,$AA226))</f>
        <v/>
      </c>
      <c r="K226" s="18" t="str">
        <f>IF($AA226=0,"",INDEX('13 - DATA &amp; LISTS'!$AI$30:$AI$436,$AA226))</f>
        <v/>
      </c>
      <c r="AA226">
        <f>IF(COUNTIF('13 - DATA &amp; LISTS'!$AK$30:$AK$436,"&lt;999999999999")&lt;218,0,MATCH(SMALL('13 - DATA &amp; LISTS'!$AK$30:$AK$436,218),'13 - DATA &amp; LISTS'!$AK$30:$AK$436,0))</f>
        <v>0</v>
      </c>
    </row>
    <row r="227" spans="1:27" ht="63.95" customHeight="1">
      <c r="A227" s="18" t="str">
        <f>IF($AA227=0,"",INDEX('13 - DATA &amp; LISTS'!$Y$30:$Y$436,$AA227))</f>
        <v/>
      </c>
      <c r="B227" s="18" t="str">
        <f>IF($AA227=0,"",INDEX('13 - DATA &amp; LISTS'!$Z$30:$Z$436,$AA227))</f>
        <v/>
      </c>
      <c r="C227" s="18" t="str">
        <f>IF($AA227=0,"",INDEX('13 - DATA &amp; LISTS'!$AA$30:$AA$436,$AA227))</f>
        <v/>
      </c>
      <c r="D227" s="18" t="str">
        <f>IF($AA227=0,"",INDEX('13 - DATA &amp; LISTS'!$AB$30:$AB$436,$AA227))</f>
        <v/>
      </c>
      <c r="E227" s="18" t="str">
        <f>IF($AA227=0,"",INDEX('13 - DATA &amp; LISTS'!$AC$30:$AC$436,$AA227))</f>
        <v/>
      </c>
      <c r="F227" s="18" t="str">
        <f>IF($AA227=0,"",INDEX('13 - DATA &amp; LISTS'!$AD$30:$AD$436,$AA227))</f>
        <v/>
      </c>
      <c r="G227" s="18" t="str">
        <f>IF($AA227=0,"",INDEX('13 - DATA &amp; LISTS'!$AE$30:$AE$436,$AA227))</f>
        <v/>
      </c>
      <c r="H227" s="19" t="str">
        <f>IF($AA227=0,"",INDEX('13 - DATA &amp; LISTS'!$AF$30:$AF$436,$AA227))</f>
        <v/>
      </c>
      <c r="I227" s="18" t="str">
        <f>IF($AA227=0,"",INDEX('13 - DATA &amp; LISTS'!$AG$30:$AG$436,$AA227))</f>
        <v/>
      </c>
      <c r="J227" s="18" t="str">
        <f>IF($AA227=0,"",INDEX('13 - DATA &amp; LISTS'!$AH$30:$AH$436,$AA227))</f>
        <v/>
      </c>
      <c r="K227" s="18" t="str">
        <f>IF($AA227=0,"",INDEX('13 - DATA &amp; LISTS'!$AI$30:$AI$436,$AA227))</f>
        <v/>
      </c>
      <c r="AA227">
        <f>IF(COUNTIF('13 - DATA &amp; LISTS'!$AK$30:$AK$436,"&lt;999999999999")&lt;219,0,MATCH(SMALL('13 - DATA &amp; LISTS'!$AK$30:$AK$436,219),'13 - DATA &amp; LISTS'!$AK$30:$AK$436,0))</f>
        <v>0</v>
      </c>
    </row>
    <row r="228" spans="1:27" ht="63.95" customHeight="1">
      <c r="A228" s="18" t="str">
        <f>IF($AA228=0,"",INDEX('13 - DATA &amp; LISTS'!$Y$30:$Y$436,$AA228))</f>
        <v/>
      </c>
      <c r="B228" s="18" t="str">
        <f>IF($AA228=0,"",INDEX('13 - DATA &amp; LISTS'!$Z$30:$Z$436,$AA228))</f>
        <v/>
      </c>
      <c r="C228" s="18" t="str">
        <f>IF($AA228=0,"",INDEX('13 - DATA &amp; LISTS'!$AA$30:$AA$436,$AA228))</f>
        <v/>
      </c>
      <c r="D228" s="18" t="str">
        <f>IF($AA228=0,"",INDEX('13 - DATA &amp; LISTS'!$AB$30:$AB$436,$AA228))</f>
        <v/>
      </c>
      <c r="E228" s="18" t="str">
        <f>IF($AA228=0,"",INDEX('13 - DATA &amp; LISTS'!$AC$30:$AC$436,$AA228))</f>
        <v/>
      </c>
      <c r="F228" s="18" t="str">
        <f>IF($AA228=0,"",INDEX('13 - DATA &amp; LISTS'!$AD$30:$AD$436,$AA228))</f>
        <v/>
      </c>
      <c r="G228" s="18" t="str">
        <f>IF($AA228=0,"",INDEX('13 - DATA &amp; LISTS'!$AE$30:$AE$436,$AA228))</f>
        <v/>
      </c>
      <c r="H228" s="19" t="str">
        <f>IF($AA228=0,"",INDEX('13 - DATA &amp; LISTS'!$AF$30:$AF$436,$AA228))</f>
        <v/>
      </c>
      <c r="I228" s="18" t="str">
        <f>IF($AA228=0,"",INDEX('13 - DATA &amp; LISTS'!$AG$30:$AG$436,$AA228))</f>
        <v/>
      </c>
      <c r="J228" s="18" t="str">
        <f>IF($AA228=0,"",INDEX('13 - DATA &amp; LISTS'!$AH$30:$AH$436,$AA228))</f>
        <v/>
      </c>
      <c r="K228" s="18" t="str">
        <f>IF($AA228=0,"",INDEX('13 - DATA &amp; LISTS'!$AI$30:$AI$436,$AA228))</f>
        <v/>
      </c>
      <c r="AA228">
        <f>IF(COUNTIF('13 - DATA &amp; LISTS'!$AK$30:$AK$436,"&lt;999999999999")&lt;220,0,MATCH(SMALL('13 - DATA &amp; LISTS'!$AK$30:$AK$436,220),'13 - DATA &amp; LISTS'!$AK$30:$AK$436,0))</f>
        <v>0</v>
      </c>
    </row>
    <row r="229" spans="1:27" ht="63.95" customHeight="1">
      <c r="A229" s="18" t="str">
        <f>IF($AA229=0,"",INDEX('13 - DATA &amp; LISTS'!$Y$30:$Y$436,$AA229))</f>
        <v/>
      </c>
      <c r="B229" s="18" t="str">
        <f>IF($AA229=0,"",INDEX('13 - DATA &amp; LISTS'!$Z$30:$Z$436,$AA229))</f>
        <v/>
      </c>
      <c r="C229" s="18" t="str">
        <f>IF($AA229=0,"",INDEX('13 - DATA &amp; LISTS'!$AA$30:$AA$436,$AA229))</f>
        <v/>
      </c>
      <c r="D229" s="18" t="str">
        <f>IF($AA229=0,"",INDEX('13 - DATA &amp; LISTS'!$AB$30:$AB$436,$AA229))</f>
        <v/>
      </c>
      <c r="E229" s="18" t="str">
        <f>IF($AA229=0,"",INDEX('13 - DATA &amp; LISTS'!$AC$30:$AC$436,$AA229))</f>
        <v/>
      </c>
      <c r="F229" s="18" t="str">
        <f>IF($AA229=0,"",INDEX('13 - DATA &amp; LISTS'!$AD$30:$AD$436,$AA229))</f>
        <v/>
      </c>
      <c r="G229" s="18" t="str">
        <f>IF($AA229=0,"",INDEX('13 - DATA &amp; LISTS'!$AE$30:$AE$436,$AA229))</f>
        <v/>
      </c>
      <c r="H229" s="19" t="str">
        <f>IF($AA229=0,"",INDEX('13 - DATA &amp; LISTS'!$AF$30:$AF$436,$AA229))</f>
        <v/>
      </c>
      <c r="I229" s="18" t="str">
        <f>IF($AA229=0,"",INDEX('13 - DATA &amp; LISTS'!$AG$30:$AG$436,$AA229))</f>
        <v/>
      </c>
      <c r="J229" s="18" t="str">
        <f>IF($AA229=0,"",INDEX('13 - DATA &amp; LISTS'!$AH$30:$AH$436,$AA229))</f>
        <v/>
      </c>
      <c r="K229" s="18" t="str">
        <f>IF($AA229=0,"",INDEX('13 - DATA &amp; LISTS'!$AI$30:$AI$436,$AA229))</f>
        <v/>
      </c>
      <c r="AA229">
        <f>IF(COUNTIF('13 - DATA &amp; LISTS'!$AK$30:$AK$436,"&lt;999999999999")&lt;221,0,MATCH(SMALL('13 - DATA &amp; LISTS'!$AK$30:$AK$436,221),'13 - DATA &amp; LISTS'!$AK$30:$AK$436,0))</f>
        <v>0</v>
      </c>
    </row>
    <row r="230" spans="1:27" ht="63.95" customHeight="1">
      <c r="A230" s="18" t="str">
        <f>IF($AA230=0,"",INDEX('13 - DATA &amp; LISTS'!$Y$30:$Y$436,$AA230))</f>
        <v/>
      </c>
      <c r="B230" s="18" t="str">
        <f>IF($AA230=0,"",INDEX('13 - DATA &amp; LISTS'!$Z$30:$Z$436,$AA230))</f>
        <v/>
      </c>
      <c r="C230" s="18" t="str">
        <f>IF($AA230=0,"",INDEX('13 - DATA &amp; LISTS'!$AA$30:$AA$436,$AA230))</f>
        <v/>
      </c>
      <c r="D230" s="18" t="str">
        <f>IF($AA230=0,"",INDEX('13 - DATA &amp; LISTS'!$AB$30:$AB$436,$AA230))</f>
        <v/>
      </c>
      <c r="E230" s="18" t="str">
        <f>IF($AA230=0,"",INDEX('13 - DATA &amp; LISTS'!$AC$30:$AC$436,$AA230))</f>
        <v/>
      </c>
      <c r="F230" s="18" t="str">
        <f>IF($AA230=0,"",INDEX('13 - DATA &amp; LISTS'!$AD$30:$AD$436,$AA230))</f>
        <v/>
      </c>
      <c r="G230" s="18" t="str">
        <f>IF($AA230=0,"",INDEX('13 - DATA &amp; LISTS'!$AE$30:$AE$436,$AA230))</f>
        <v/>
      </c>
      <c r="H230" s="19" t="str">
        <f>IF($AA230=0,"",INDEX('13 - DATA &amp; LISTS'!$AF$30:$AF$436,$AA230))</f>
        <v/>
      </c>
      <c r="I230" s="18" t="str">
        <f>IF($AA230=0,"",INDEX('13 - DATA &amp; LISTS'!$AG$30:$AG$436,$AA230))</f>
        <v/>
      </c>
      <c r="J230" s="18" t="str">
        <f>IF($AA230=0,"",INDEX('13 - DATA &amp; LISTS'!$AH$30:$AH$436,$AA230))</f>
        <v/>
      </c>
      <c r="K230" s="18" t="str">
        <f>IF($AA230=0,"",INDEX('13 - DATA &amp; LISTS'!$AI$30:$AI$436,$AA230))</f>
        <v/>
      </c>
      <c r="AA230">
        <f>IF(COUNTIF('13 - DATA &amp; LISTS'!$AK$30:$AK$436,"&lt;999999999999")&lt;222,0,MATCH(SMALL('13 - DATA &amp; LISTS'!$AK$30:$AK$436,222),'13 - DATA &amp; LISTS'!$AK$30:$AK$436,0))</f>
        <v>0</v>
      </c>
    </row>
    <row r="231" spans="1:27" ht="63.95" customHeight="1">
      <c r="A231" s="18" t="str">
        <f>IF($AA231=0,"",INDEX('13 - DATA &amp; LISTS'!$Y$30:$Y$436,$AA231))</f>
        <v/>
      </c>
      <c r="B231" s="18" t="str">
        <f>IF($AA231=0,"",INDEX('13 - DATA &amp; LISTS'!$Z$30:$Z$436,$AA231))</f>
        <v/>
      </c>
      <c r="C231" s="18" t="str">
        <f>IF($AA231=0,"",INDEX('13 - DATA &amp; LISTS'!$AA$30:$AA$436,$AA231))</f>
        <v/>
      </c>
      <c r="D231" s="18" t="str">
        <f>IF($AA231=0,"",INDEX('13 - DATA &amp; LISTS'!$AB$30:$AB$436,$AA231))</f>
        <v/>
      </c>
      <c r="E231" s="18" t="str">
        <f>IF($AA231=0,"",INDEX('13 - DATA &amp; LISTS'!$AC$30:$AC$436,$AA231))</f>
        <v/>
      </c>
      <c r="F231" s="18" t="str">
        <f>IF($AA231=0,"",INDEX('13 - DATA &amp; LISTS'!$AD$30:$AD$436,$AA231))</f>
        <v/>
      </c>
      <c r="G231" s="18" t="str">
        <f>IF($AA231=0,"",INDEX('13 - DATA &amp; LISTS'!$AE$30:$AE$436,$AA231))</f>
        <v/>
      </c>
      <c r="H231" s="19" t="str">
        <f>IF($AA231=0,"",INDEX('13 - DATA &amp; LISTS'!$AF$30:$AF$436,$AA231))</f>
        <v/>
      </c>
      <c r="I231" s="18" t="str">
        <f>IF($AA231=0,"",INDEX('13 - DATA &amp; LISTS'!$AG$30:$AG$436,$AA231))</f>
        <v/>
      </c>
      <c r="J231" s="18" t="str">
        <f>IF($AA231=0,"",INDEX('13 - DATA &amp; LISTS'!$AH$30:$AH$436,$AA231))</f>
        <v/>
      </c>
      <c r="K231" s="18" t="str">
        <f>IF($AA231=0,"",INDEX('13 - DATA &amp; LISTS'!$AI$30:$AI$436,$AA231))</f>
        <v/>
      </c>
      <c r="AA231">
        <f>IF(COUNTIF('13 - DATA &amp; LISTS'!$AK$30:$AK$436,"&lt;999999999999")&lt;223,0,MATCH(SMALL('13 - DATA &amp; LISTS'!$AK$30:$AK$436,223),'13 - DATA &amp; LISTS'!$AK$30:$AK$436,0))</f>
        <v>0</v>
      </c>
    </row>
    <row r="232" spans="1:27" ht="63.95" customHeight="1">
      <c r="A232" s="18" t="str">
        <f>IF($AA232=0,"",INDEX('13 - DATA &amp; LISTS'!$Y$30:$Y$436,$AA232))</f>
        <v/>
      </c>
      <c r="B232" s="18" t="str">
        <f>IF($AA232=0,"",INDEX('13 - DATA &amp; LISTS'!$Z$30:$Z$436,$AA232))</f>
        <v/>
      </c>
      <c r="C232" s="18" t="str">
        <f>IF($AA232=0,"",INDEX('13 - DATA &amp; LISTS'!$AA$30:$AA$436,$AA232))</f>
        <v/>
      </c>
      <c r="D232" s="18" t="str">
        <f>IF($AA232=0,"",INDEX('13 - DATA &amp; LISTS'!$AB$30:$AB$436,$AA232))</f>
        <v/>
      </c>
      <c r="E232" s="18" t="str">
        <f>IF($AA232=0,"",INDEX('13 - DATA &amp; LISTS'!$AC$30:$AC$436,$AA232))</f>
        <v/>
      </c>
      <c r="F232" s="18" t="str">
        <f>IF($AA232=0,"",INDEX('13 - DATA &amp; LISTS'!$AD$30:$AD$436,$AA232))</f>
        <v/>
      </c>
      <c r="G232" s="18" t="str">
        <f>IF($AA232=0,"",INDEX('13 - DATA &amp; LISTS'!$AE$30:$AE$436,$AA232))</f>
        <v/>
      </c>
      <c r="H232" s="19" t="str">
        <f>IF($AA232=0,"",INDEX('13 - DATA &amp; LISTS'!$AF$30:$AF$436,$AA232))</f>
        <v/>
      </c>
      <c r="I232" s="18" t="str">
        <f>IF($AA232=0,"",INDEX('13 - DATA &amp; LISTS'!$AG$30:$AG$436,$AA232))</f>
        <v/>
      </c>
      <c r="J232" s="18" t="str">
        <f>IF($AA232=0,"",INDEX('13 - DATA &amp; LISTS'!$AH$30:$AH$436,$AA232))</f>
        <v/>
      </c>
      <c r="K232" s="18" t="str">
        <f>IF($AA232=0,"",INDEX('13 - DATA &amp; LISTS'!$AI$30:$AI$436,$AA232))</f>
        <v/>
      </c>
      <c r="AA232">
        <f>IF(COUNTIF('13 - DATA &amp; LISTS'!$AK$30:$AK$436,"&lt;999999999999")&lt;224,0,MATCH(SMALL('13 - DATA &amp; LISTS'!$AK$30:$AK$436,224),'13 - DATA &amp; LISTS'!$AK$30:$AK$436,0))</f>
        <v>0</v>
      </c>
    </row>
    <row r="233" spans="1:27" ht="63.95" customHeight="1">
      <c r="A233" s="18" t="str">
        <f>IF($AA233=0,"",INDEX('13 - DATA &amp; LISTS'!$Y$30:$Y$436,$AA233))</f>
        <v/>
      </c>
      <c r="B233" s="18" t="str">
        <f>IF($AA233=0,"",INDEX('13 - DATA &amp; LISTS'!$Z$30:$Z$436,$AA233))</f>
        <v/>
      </c>
      <c r="C233" s="18" t="str">
        <f>IF($AA233=0,"",INDEX('13 - DATA &amp; LISTS'!$AA$30:$AA$436,$AA233))</f>
        <v/>
      </c>
      <c r="D233" s="18" t="str">
        <f>IF($AA233=0,"",INDEX('13 - DATA &amp; LISTS'!$AB$30:$AB$436,$AA233))</f>
        <v/>
      </c>
      <c r="E233" s="18" t="str">
        <f>IF($AA233=0,"",INDEX('13 - DATA &amp; LISTS'!$AC$30:$AC$436,$AA233))</f>
        <v/>
      </c>
      <c r="F233" s="18" t="str">
        <f>IF($AA233=0,"",INDEX('13 - DATA &amp; LISTS'!$AD$30:$AD$436,$AA233))</f>
        <v/>
      </c>
      <c r="G233" s="18" t="str">
        <f>IF($AA233=0,"",INDEX('13 - DATA &amp; LISTS'!$AE$30:$AE$436,$AA233))</f>
        <v/>
      </c>
      <c r="H233" s="19" t="str">
        <f>IF($AA233=0,"",INDEX('13 - DATA &amp; LISTS'!$AF$30:$AF$436,$AA233))</f>
        <v/>
      </c>
      <c r="I233" s="18" t="str">
        <f>IF($AA233=0,"",INDEX('13 - DATA &amp; LISTS'!$AG$30:$AG$436,$AA233))</f>
        <v/>
      </c>
      <c r="J233" s="18" t="str">
        <f>IF($AA233=0,"",INDEX('13 - DATA &amp; LISTS'!$AH$30:$AH$436,$AA233))</f>
        <v/>
      </c>
      <c r="K233" s="18" t="str">
        <f>IF($AA233=0,"",INDEX('13 - DATA &amp; LISTS'!$AI$30:$AI$436,$AA233))</f>
        <v/>
      </c>
      <c r="AA233">
        <f>IF(COUNTIF('13 - DATA &amp; LISTS'!$AK$30:$AK$436,"&lt;999999999999")&lt;225,0,MATCH(SMALL('13 - DATA &amp; LISTS'!$AK$30:$AK$436,225),'13 - DATA &amp; LISTS'!$AK$30:$AK$436,0))</f>
        <v>0</v>
      </c>
    </row>
    <row r="234" spans="1:27" ht="63.95" customHeight="1">
      <c r="A234" s="18" t="str">
        <f>IF($AA234=0,"",INDEX('13 - DATA &amp; LISTS'!$Y$30:$Y$436,$AA234))</f>
        <v/>
      </c>
      <c r="B234" s="18" t="str">
        <f>IF($AA234=0,"",INDEX('13 - DATA &amp; LISTS'!$Z$30:$Z$436,$AA234))</f>
        <v/>
      </c>
      <c r="C234" s="18" t="str">
        <f>IF($AA234=0,"",INDEX('13 - DATA &amp; LISTS'!$AA$30:$AA$436,$AA234))</f>
        <v/>
      </c>
      <c r="D234" s="18" t="str">
        <f>IF($AA234=0,"",INDEX('13 - DATA &amp; LISTS'!$AB$30:$AB$436,$AA234))</f>
        <v/>
      </c>
      <c r="E234" s="18" t="str">
        <f>IF($AA234=0,"",INDEX('13 - DATA &amp; LISTS'!$AC$30:$AC$436,$AA234))</f>
        <v/>
      </c>
      <c r="F234" s="18" t="str">
        <f>IF($AA234=0,"",INDEX('13 - DATA &amp; LISTS'!$AD$30:$AD$436,$AA234))</f>
        <v/>
      </c>
      <c r="G234" s="18" t="str">
        <f>IF($AA234=0,"",INDEX('13 - DATA &amp; LISTS'!$AE$30:$AE$436,$AA234))</f>
        <v/>
      </c>
      <c r="H234" s="19" t="str">
        <f>IF($AA234=0,"",INDEX('13 - DATA &amp; LISTS'!$AF$30:$AF$436,$AA234))</f>
        <v/>
      </c>
      <c r="I234" s="18" t="str">
        <f>IF($AA234=0,"",INDEX('13 - DATA &amp; LISTS'!$AG$30:$AG$436,$AA234))</f>
        <v/>
      </c>
      <c r="J234" s="18" t="str">
        <f>IF($AA234=0,"",INDEX('13 - DATA &amp; LISTS'!$AH$30:$AH$436,$AA234))</f>
        <v/>
      </c>
      <c r="K234" s="18" t="str">
        <f>IF($AA234=0,"",INDEX('13 - DATA &amp; LISTS'!$AI$30:$AI$436,$AA234))</f>
        <v/>
      </c>
      <c r="AA234">
        <f>IF(COUNTIF('13 - DATA &amp; LISTS'!$AK$30:$AK$436,"&lt;999999999999")&lt;226,0,MATCH(SMALL('13 - DATA &amp; LISTS'!$AK$30:$AK$436,226),'13 - DATA &amp; LISTS'!$AK$30:$AK$436,0))</f>
        <v>0</v>
      </c>
    </row>
    <row r="235" spans="1:27" ht="63.95" customHeight="1">
      <c r="A235" s="18" t="str">
        <f>IF($AA235=0,"",INDEX('13 - DATA &amp; LISTS'!$Y$30:$Y$436,$AA235))</f>
        <v/>
      </c>
      <c r="B235" s="18" t="str">
        <f>IF($AA235=0,"",INDEX('13 - DATA &amp; LISTS'!$Z$30:$Z$436,$AA235))</f>
        <v/>
      </c>
      <c r="C235" s="18" t="str">
        <f>IF($AA235=0,"",INDEX('13 - DATA &amp; LISTS'!$AA$30:$AA$436,$AA235))</f>
        <v/>
      </c>
      <c r="D235" s="18" t="str">
        <f>IF($AA235=0,"",INDEX('13 - DATA &amp; LISTS'!$AB$30:$AB$436,$AA235))</f>
        <v/>
      </c>
      <c r="E235" s="18" t="str">
        <f>IF($AA235=0,"",INDEX('13 - DATA &amp; LISTS'!$AC$30:$AC$436,$AA235))</f>
        <v/>
      </c>
      <c r="F235" s="18" t="str">
        <f>IF($AA235=0,"",INDEX('13 - DATA &amp; LISTS'!$AD$30:$AD$436,$AA235))</f>
        <v/>
      </c>
      <c r="G235" s="18" t="str">
        <f>IF($AA235=0,"",INDEX('13 - DATA &amp; LISTS'!$AE$30:$AE$436,$AA235))</f>
        <v/>
      </c>
      <c r="H235" s="19" t="str">
        <f>IF($AA235=0,"",INDEX('13 - DATA &amp; LISTS'!$AF$30:$AF$436,$AA235))</f>
        <v/>
      </c>
      <c r="I235" s="18" t="str">
        <f>IF($AA235=0,"",INDEX('13 - DATA &amp; LISTS'!$AG$30:$AG$436,$AA235))</f>
        <v/>
      </c>
      <c r="J235" s="18" t="str">
        <f>IF($AA235=0,"",INDEX('13 - DATA &amp; LISTS'!$AH$30:$AH$436,$AA235))</f>
        <v/>
      </c>
      <c r="K235" s="18" t="str">
        <f>IF($AA235=0,"",INDEX('13 - DATA &amp; LISTS'!$AI$30:$AI$436,$AA235))</f>
        <v/>
      </c>
      <c r="AA235">
        <f>IF(COUNTIF('13 - DATA &amp; LISTS'!$AK$30:$AK$436,"&lt;999999999999")&lt;227,0,MATCH(SMALL('13 - DATA &amp; LISTS'!$AK$30:$AK$436,227),'13 - DATA &amp; LISTS'!$AK$30:$AK$436,0))</f>
        <v>0</v>
      </c>
    </row>
    <row r="236" spans="1:27" ht="63.95" customHeight="1">
      <c r="A236" s="18" t="str">
        <f>IF($AA236=0,"",INDEX('13 - DATA &amp; LISTS'!$Y$30:$Y$436,$AA236))</f>
        <v/>
      </c>
      <c r="B236" s="18" t="str">
        <f>IF($AA236=0,"",INDEX('13 - DATA &amp; LISTS'!$Z$30:$Z$436,$AA236))</f>
        <v/>
      </c>
      <c r="C236" s="18" t="str">
        <f>IF($AA236=0,"",INDEX('13 - DATA &amp; LISTS'!$AA$30:$AA$436,$AA236))</f>
        <v/>
      </c>
      <c r="D236" s="18" t="str">
        <f>IF($AA236=0,"",INDEX('13 - DATA &amp; LISTS'!$AB$30:$AB$436,$AA236))</f>
        <v/>
      </c>
      <c r="E236" s="18" t="str">
        <f>IF($AA236=0,"",INDEX('13 - DATA &amp; LISTS'!$AC$30:$AC$436,$AA236))</f>
        <v/>
      </c>
      <c r="F236" s="18" t="str">
        <f>IF($AA236=0,"",INDEX('13 - DATA &amp; LISTS'!$AD$30:$AD$436,$AA236))</f>
        <v/>
      </c>
      <c r="G236" s="18" t="str">
        <f>IF($AA236=0,"",INDEX('13 - DATA &amp; LISTS'!$AE$30:$AE$436,$AA236))</f>
        <v/>
      </c>
      <c r="H236" s="19" t="str">
        <f>IF($AA236=0,"",INDEX('13 - DATA &amp; LISTS'!$AF$30:$AF$436,$AA236))</f>
        <v/>
      </c>
      <c r="I236" s="18" t="str">
        <f>IF($AA236=0,"",INDEX('13 - DATA &amp; LISTS'!$AG$30:$AG$436,$AA236))</f>
        <v/>
      </c>
      <c r="J236" s="18" t="str">
        <f>IF($AA236=0,"",INDEX('13 - DATA &amp; LISTS'!$AH$30:$AH$436,$AA236))</f>
        <v/>
      </c>
      <c r="K236" s="18" t="str">
        <f>IF($AA236=0,"",INDEX('13 - DATA &amp; LISTS'!$AI$30:$AI$436,$AA236))</f>
        <v/>
      </c>
      <c r="AA236">
        <f>IF(COUNTIF('13 - DATA &amp; LISTS'!$AK$30:$AK$436,"&lt;999999999999")&lt;228,0,MATCH(SMALL('13 - DATA &amp; LISTS'!$AK$30:$AK$436,228),'13 - DATA &amp; LISTS'!$AK$30:$AK$436,0))</f>
        <v>0</v>
      </c>
    </row>
    <row r="237" spans="1:27" ht="63.95" customHeight="1">
      <c r="A237" s="18" t="str">
        <f>IF($AA237=0,"",INDEX('13 - DATA &amp; LISTS'!$Y$30:$Y$436,$AA237))</f>
        <v/>
      </c>
      <c r="B237" s="18" t="str">
        <f>IF($AA237=0,"",INDEX('13 - DATA &amp; LISTS'!$Z$30:$Z$436,$AA237))</f>
        <v/>
      </c>
      <c r="C237" s="18" t="str">
        <f>IF($AA237=0,"",INDEX('13 - DATA &amp; LISTS'!$AA$30:$AA$436,$AA237))</f>
        <v/>
      </c>
      <c r="D237" s="18" t="str">
        <f>IF($AA237=0,"",INDEX('13 - DATA &amp; LISTS'!$AB$30:$AB$436,$AA237))</f>
        <v/>
      </c>
      <c r="E237" s="18" t="str">
        <f>IF($AA237=0,"",INDEX('13 - DATA &amp; LISTS'!$AC$30:$AC$436,$AA237))</f>
        <v/>
      </c>
      <c r="F237" s="18" t="str">
        <f>IF($AA237=0,"",INDEX('13 - DATA &amp; LISTS'!$AD$30:$AD$436,$AA237))</f>
        <v/>
      </c>
      <c r="G237" s="18" t="str">
        <f>IF($AA237=0,"",INDEX('13 - DATA &amp; LISTS'!$AE$30:$AE$436,$AA237))</f>
        <v/>
      </c>
      <c r="H237" s="19" t="str">
        <f>IF($AA237=0,"",INDEX('13 - DATA &amp; LISTS'!$AF$30:$AF$436,$AA237))</f>
        <v/>
      </c>
      <c r="I237" s="18" t="str">
        <f>IF($AA237=0,"",INDEX('13 - DATA &amp; LISTS'!$AG$30:$AG$436,$AA237))</f>
        <v/>
      </c>
      <c r="J237" s="18" t="str">
        <f>IF($AA237=0,"",INDEX('13 - DATA &amp; LISTS'!$AH$30:$AH$436,$AA237))</f>
        <v/>
      </c>
      <c r="K237" s="18" t="str">
        <f>IF($AA237=0,"",INDEX('13 - DATA &amp; LISTS'!$AI$30:$AI$436,$AA237))</f>
        <v/>
      </c>
      <c r="AA237">
        <f>IF(COUNTIF('13 - DATA &amp; LISTS'!$AK$30:$AK$436,"&lt;999999999999")&lt;229,0,MATCH(SMALL('13 - DATA &amp; LISTS'!$AK$30:$AK$436,229),'13 - DATA &amp; LISTS'!$AK$30:$AK$436,0))</f>
        <v>0</v>
      </c>
    </row>
    <row r="238" spans="1:27" ht="63.95" customHeight="1">
      <c r="A238" s="18" t="str">
        <f>IF($AA238=0,"",INDEX('13 - DATA &amp; LISTS'!$Y$30:$Y$436,$AA238))</f>
        <v/>
      </c>
      <c r="B238" s="18" t="str">
        <f>IF($AA238=0,"",INDEX('13 - DATA &amp; LISTS'!$Z$30:$Z$436,$AA238))</f>
        <v/>
      </c>
      <c r="C238" s="18" t="str">
        <f>IF($AA238=0,"",INDEX('13 - DATA &amp; LISTS'!$AA$30:$AA$436,$AA238))</f>
        <v/>
      </c>
      <c r="D238" s="18" t="str">
        <f>IF($AA238=0,"",INDEX('13 - DATA &amp; LISTS'!$AB$30:$AB$436,$AA238))</f>
        <v/>
      </c>
      <c r="E238" s="18" t="str">
        <f>IF($AA238=0,"",INDEX('13 - DATA &amp; LISTS'!$AC$30:$AC$436,$AA238))</f>
        <v/>
      </c>
      <c r="F238" s="18" t="str">
        <f>IF($AA238=0,"",INDEX('13 - DATA &amp; LISTS'!$AD$30:$AD$436,$AA238))</f>
        <v/>
      </c>
      <c r="G238" s="18" t="str">
        <f>IF($AA238=0,"",INDEX('13 - DATA &amp; LISTS'!$AE$30:$AE$436,$AA238))</f>
        <v/>
      </c>
      <c r="H238" s="19" t="str">
        <f>IF($AA238=0,"",INDEX('13 - DATA &amp; LISTS'!$AF$30:$AF$436,$AA238))</f>
        <v/>
      </c>
      <c r="I238" s="18" t="str">
        <f>IF($AA238=0,"",INDEX('13 - DATA &amp; LISTS'!$AG$30:$AG$436,$AA238))</f>
        <v/>
      </c>
      <c r="J238" s="18" t="str">
        <f>IF($AA238=0,"",INDEX('13 - DATA &amp; LISTS'!$AH$30:$AH$436,$AA238))</f>
        <v/>
      </c>
      <c r="K238" s="18" t="str">
        <f>IF($AA238=0,"",INDEX('13 - DATA &amp; LISTS'!$AI$30:$AI$436,$AA238))</f>
        <v/>
      </c>
      <c r="AA238">
        <f>IF(COUNTIF('13 - DATA &amp; LISTS'!$AK$30:$AK$436,"&lt;999999999999")&lt;230,0,MATCH(SMALL('13 - DATA &amp; LISTS'!$AK$30:$AK$436,230),'13 - DATA &amp; LISTS'!$AK$30:$AK$436,0))</f>
        <v>0</v>
      </c>
    </row>
    <row r="239" spans="1:27" ht="63.95" customHeight="1">
      <c r="A239" s="18" t="str">
        <f>IF($AA239=0,"",INDEX('13 - DATA &amp; LISTS'!$Y$30:$Y$436,$AA239))</f>
        <v/>
      </c>
      <c r="B239" s="18" t="str">
        <f>IF($AA239=0,"",INDEX('13 - DATA &amp; LISTS'!$Z$30:$Z$436,$AA239))</f>
        <v/>
      </c>
      <c r="C239" s="18" t="str">
        <f>IF($AA239=0,"",INDEX('13 - DATA &amp; LISTS'!$AA$30:$AA$436,$AA239))</f>
        <v/>
      </c>
      <c r="D239" s="18" t="str">
        <f>IF($AA239=0,"",INDEX('13 - DATA &amp; LISTS'!$AB$30:$AB$436,$AA239))</f>
        <v/>
      </c>
      <c r="E239" s="18" t="str">
        <f>IF($AA239=0,"",INDEX('13 - DATA &amp; LISTS'!$AC$30:$AC$436,$AA239))</f>
        <v/>
      </c>
      <c r="F239" s="18" t="str">
        <f>IF($AA239=0,"",INDEX('13 - DATA &amp; LISTS'!$AD$30:$AD$436,$AA239))</f>
        <v/>
      </c>
      <c r="G239" s="18" t="str">
        <f>IF($AA239=0,"",INDEX('13 - DATA &amp; LISTS'!$AE$30:$AE$436,$AA239))</f>
        <v/>
      </c>
      <c r="H239" s="19" t="str">
        <f>IF($AA239=0,"",INDEX('13 - DATA &amp; LISTS'!$AF$30:$AF$436,$AA239))</f>
        <v/>
      </c>
      <c r="I239" s="18" t="str">
        <f>IF($AA239=0,"",INDEX('13 - DATA &amp; LISTS'!$AG$30:$AG$436,$AA239))</f>
        <v/>
      </c>
      <c r="J239" s="18" t="str">
        <f>IF($AA239=0,"",INDEX('13 - DATA &amp; LISTS'!$AH$30:$AH$436,$AA239))</f>
        <v/>
      </c>
      <c r="K239" s="18" t="str">
        <f>IF($AA239=0,"",INDEX('13 - DATA &amp; LISTS'!$AI$30:$AI$436,$AA239))</f>
        <v/>
      </c>
      <c r="AA239">
        <f>IF(COUNTIF('13 - DATA &amp; LISTS'!$AK$30:$AK$436,"&lt;999999999999")&lt;231,0,MATCH(SMALL('13 - DATA &amp; LISTS'!$AK$30:$AK$436,231),'13 - DATA &amp; LISTS'!$AK$30:$AK$436,0))</f>
        <v>0</v>
      </c>
    </row>
    <row r="240" spans="1:27" ht="63.95" customHeight="1">
      <c r="A240" s="18" t="str">
        <f>IF($AA240=0,"",INDEX('13 - DATA &amp; LISTS'!$Y$30:$Y$436,$AA240))</f>
        <v/>
      </c>
      <c r="B240" s="18" t="str">
        <f>IF($AA240=0,"",INDEX('13 - DATA &amp; LISTS'!$Z$30:$Z$436,$AA240))</f>
        <v/>
      </c>
      <c r="C240" s="18" t="str">
        <f>IF($AA240=0,"",INDEX('13 - DATA &amp; LISTS'!$AA$30:$AA$436,$AA240))</f>
        <v/>
      </c>
      <c r="D240" s="18" t="str">
        <f>IF($AA240=0,"",INDEX('13 - DATA &amp; LISTS'!$AB$30:$AB$436,$AA240))</f>
        <v/>
      </c>
      <c r="E240" s="18" t="str">
        <f>IF($AA240=0,"",INDEX('13 - DATA &amp; LISTS'!$AC$30:$AC$436,$AA240))</f>
        <v/>
      </c>
      <c r="F240" s="18" t="str">
        <f>IF($AA240=0,"",INDEX('13 - DATA &amp; LISTS'!$AD$30:$AD$436,$AA240))</f>
        <v/>
      </c>
      <c r="G240" s="18" t="str">
        <f>IF($AA240=0,"",INDEX('13 - DATA &amp; LISTS'!$AE$30:$AE$436,$AA240))</f>
        <v/>
      </c>
      <c r="H240" s="19" t="str">
        <f>IF($AA240=0,"",INDEX('13 - DATA &amp; LISTS'!$AF$30:$AF$436,$AA240))</f>
        <v/>
      </c>
      <c r="I240" s="18" t="str">
        <f>IF($AA240=0,"",INDEX('13 - DATA &amp; LISTS'!$AG$30:$AG$436,$AA240))</f>
        <v/>
      </c>
      <c r="J240" s="18" t="str">
        <f>IF($AA240=0,"",INDEX('13 - DATA &amp; LISTS'!$AH$30:$AH$436,$AA240))</f>
        <v/>
      </c>
      <c r="K240" s="18" t="str">
        <f>IF($AA240=0,"",INDEX('13 - DATA &amp; LISTS'!$AI$30:$AI$436,$AA240))</f>
        <v/>
      </c>
      <c r="AA240">
        <f>IF(COUNTIF('13 - DATA &amp; LISTS'!$AK$30:$AK$436,"&lt;999999999999")&lt;232,0,MATCH(SMALL('13 - DATA &amp; LISTS'!$AK$30:$AK$436,232),'13 - DATA &amp; LISTS'!$AK$30:$AK$436,0))</f>
        <v>0</v>
      </c>
    </row>
    <row r="241" spans="1:27" ht="63.95" customHeight="1">
      <c r="A241" s="18" t="str">
        <f>IF($AA241=0,"",INDEX('13 - DATA &amp; LISTS'!$Y$30:$Y$436,$AA241))</f>
        <v/>
      </c>
      <c r="B241" s="18" t="str">
        <f>IF($AA241=0,"",INDEX('13 - DATA &amp; LISTS'!$Z$30:$Z$436,$AA241))</f>
        <v/>
      </c>
      <c r="C241" s="18" t="str">
        <f>IF($AA241=0,"",INDEX('13 - DATA &amp; LISTS'!$AA$30:$AA$436,$AA241))</f>
        <v/>
      </c>
      <c r="D241" s="18" t="str">
        <f>IF($AA241=0,"",INDEX('13 - DATA &amp; LISTS'!$AB$30:$AB$436,$AA241))</f>
        <v/>
      </c>
      <c r="E241" s="18" t="str">
        <f>IF($AA241=0,"",INDEX('13 - DATA &amp; LISTS'!$AC$30:$AC$436,$AA241))</f>
        <v/>
      </c>
      <c r="F241" s="18" t="str">
        <f>IF($AA241=0,"",INDEX('13 - DATA &amp; LISTS'!$AD$30:$AD$436,$AA241))</f>
        <v/>
      </c>
      <c r="G241" s="18" t="str">
        <f>IF($AA241=0,"",INDEX('13 - DATA &amp; LISTS'!$AE$30:$AE$436,$AA241))</f>
        <v/>
      </c>
      <c r="H241" s="19" t="str">
        <f>IF($AA241=0,"",INDEX('13 - DATA &amp; LISTS'!$AF$30:$AF$436,$AA241))</f>
        <v/>
      </c>
      <c r="I241" s="18" t="str">
        <f>IF($AA241=0,"",INDEX('13 - DATA &amp; LISTS'!$AG$30:$AG$436,$AA241))</f>
        <v/>
      </c>
      <c r="J241" s="18" t="str">
        <f>IF($AA241=0,"",INDEX('13 - DATA &amp; LISTS'!$AH$30:$AH$436,$AA241))</f>
        <v/>
      </c>
      <c r="K241" s="18" t="str">
        <f>IF($AA241=0,"",INDEX('13 - DATA &amp; LISTS'!$AI$30:$AI$436,$AA241))</f>
        <v/>
      </c>
      <c r="AA241">
        <f>IF(COUNTIF('13 - DATA &amp; LISTS'!$AK$30:$AK$436,"&lt;999999999999")&lt;233,0,MATCH(SMALL('13 - DATA &amp; LISTS'!$AK$30:$AK$436,233),'13 - DATA &amp; LISTS'!$AK$30:$AK$436,0))</f>
        <v>0</v>
      </c>
    </row>
    <row r="242" spans="1:27" ht="63.95" customHeight="1">
      <c r="A242" s="18" t="str">
        <f>IF($AA242=0,"",INDEX('13 - DATA &amp; LISTS'!$Y$30:$Y$436,$AA242))</f>
        <v/>
      </c>
      <c r="B242" s="18" t="str">
        <f>IF($AA242=0,"",INDEX('13 - DATA &amp; LISTS'!$Z$30:$Z$436,$AA242))</f>
        <v/>
      </c>
      <c r="C242" s="18" t="str">
        <f>IF($AA242=0,"",INDEX('13 - DATA &amp; LISTS'!$AA$30:$AA$436,$AA242))</f>
        <v/>
      </c>
      <c r="D242" s="18" t="str">
        <f>IF($AA242=0,"",INDEX('13 - DATA &amp; LISTS'!$AB$30:$AB$436,$AA242))</f>
        <v/>
      </c>
      <c r="E242" s="18" t="str">
        <f>IF($AA242=0,"",INDEX('13 - DATA &amp; LISTS'!$AC$30:$AC$436,$AA242))</f>
        <v/>
      </c>
      <c r="F242" s="18" t="str">
        <f>IF($AA242=0,"",INDEX('13 - DATA &amp; LISTS'!$AD$30:$AD$436,$AA242))</f>
        <v/>
      </c>
      <c r="G242" s="18" t="str">
        <f>IF($AA242=0,"",INDEX('13 - DATA &amp; LISTS'!$AE$30:$AE$436,$AA242))</f>
        <v/>
      </c>
      <c r="H242" s="19" t="str">
        <f>IF($AA242=0,"",INDEX('13 - DATA &amp; LISTS'!$AF$30:$AF$436,$AA242))</f>
        <v/>
      </c>
      <c r="I242" s="18" t="str">
        <f>IF($AA242=0,"",INDEX('13 - DATA &amp; LISTS'!$AG$30:$AG$436,$AA242))</f>
        <v/>
      </c>
      <c r="J242" s="18" t="str">
        <f>IF($AA242=0,"",INDEX('13 - DATA &amp; LISTS'!$AH$30:$AH$436,$AA242))</f>
        <v/>
      </c>
      <c r="K242" s="18" t="str">
        <f>IF($AA242=0,"",INDEX('13 - DATA &amp; LISTS'!$AI$30:$AI$436,$AA242))</f>
        <v/>
      </c>
      <c r="AA242">
        <f>IF(COUNTIF('13 - DATA &amp; LISTS'!$AK$30:$AK$436,"&lt;999999999999")&lt;234,0,MATCH(SMALL('13 - DATA &amp; LISTS'!$AK$30:$AK$436,234),'13 - DATA &amp; LISTS'!$AK$30:$AK$436,0))</f>
        <v>0</v>
      </c>
    </row>
    <row r="243" spans="1:27" ht="63.95" customHeight="1">
      <c r="A243" s="18" t="str">
        <f>IF($AA243=0,"",INDEX('13 - DATA &amp; LISTS'!$Y$30:$Y$436,$AA243))</f>
        <v/>
      </c>
      <c r="B243" s="18" t="str">
        <f>IF($AA243=0,"",INDEX('13 - DATA &amp; LISTS'!$Z$30:$Z$436,$AA243))</f>
        <v/>
      </c>
      <c r="C243" s="18" t="str">
        <f>IF($AA243=0,"",INDEX('13 - DATA &amp; LISTS'!$AA$30:$AA$436,$AA243))</f>
        <v/>
      </c>
      <c r="D243" s="18" t="str">
        <f>IF($AA243=0,"",INDEX('13 - DATA &amp; LISTS'!$AB$30:$AB$436,$AA243))</f>
        <v/>
      </c>
      <c r="E243" s="18" t="str">
        <f>IF($AA243=0,"",INDEX('13 - DATA &amp; LISTS'!$AC$30:$AC$436,$AA243))</f>
        <v/>
      </c>
      <c r="F243" s="18" t="str">
        <f>IF($AA243=0,"",INDEX('13 - DATA &amp; LISTS'!$AD$30:$AD$436,$AA243))</f>
        <v/>
      </c>
      <c r="G243" s="18" t="str">
        <f>IF($AA243=0,"",INDEX('13 - DATA &amp; LISTS'!$AE$30:$AE$436,$AA243))</f>
        <v/>
      </c>
      <c r="H243" s="19" t="str">
        <f>IF($AA243=0,"",INDEX('13 - DATA &amp; LISTS'!$AF$30:$AF$436,$AA243))</f>
        <v/>
      </c>
      <c r="I243" s="18" t="str">
        <f>IF($AA243=0,"",INDEX('13 - DATA &amp; LISTS'!$AG$30:$AG$436,$AA243))</f>
        <v/>
      </c>
      <c r="J243" s="18" t="str">
        <f>IF($AA243=0,"",INDEX('13 - DATA &amp; LISTS'!$AH$30:$AH$436,$AA243))</f>
        <v/>
      </c>
      <c r="K243" s="18" t="str">
        <f>IF($AA243=0,"",INDEX('13 - DATA &amp; LISTS'!$AI$30:$AI$436,$AA243))</f>
        <v/>
      </c>
      <c r="AA243">
        <f>IF(COUNTIF('13 - DATA &amp; LISTS'!$AK$30:$AK$436,"&lt;999999999999")&lt;235,0,MATCH(SMALL('13 - DATA &amp; LISTS'!$AK$30:$AK$436,235),'13 - DATA &amp; LISTS'!$AK$30:$AK$436,0))</f>
        <v>0</v>
      </c>
    </row>
    <row r="244" spans="1:27" ht="63.95" customHeight="1">
      <c r="A244" s="18" t="str">
        <f>IF($AA244=0,"",INDEX('13 - DATA &amp; LISTS'!$Y$30:$Y$436,$AA244))</f>
        <v/>
      </c>
      <c r="B244" s="18" t="str">
        <f>IF($AA244=0,"",INDEX('13 - DATA &amp; LISTS'!$Z$30:$Z$436,$AA244))</f>
        <v/>
      </c>
      <c r="C244" s="18" t="str">
        <f>IF($AA244=0,"",INDEX('13 - DATA &amp; LISTS'!$AA$30:$AA$436,$AA244))</f>
        <v/>
      </c>
      <c r="D244" s="18" t="str">
        <f>IF($AA244=0,"",INDEX('13 - DATA &amp; LISTS'!$AB$30:$AB$436,$AA244))</f>
        <v/>
      </c>
      <c r="E244" s="18" t="str">
        <f>IF($AA244=0,"",INDEX('13 - DATA &amp; LISTS'!$AC$30:$AC$436,$AA244))</f>
        <v/>
      </c>
      <c r="F244" s="18" t="str">
        <f>IF($AA244=0,"",INDEX('13 - DATA &amp; LISTS'!$AD$30:$AD$436,$AA244))</f>
        <v/>
      </c>
      <c r="G244" s="18" t="str">
        <f>IF($AA244=0,"",INDEX('13 - DATA &amp; LISTS'!$AE$30:$AE$436,$AA244))</f>
        <v/>
      </c>
      <c r="H244" s="19" t="str">
        <f>IF($AA244=0,"",INDEX('13 - DATA &amp; LISTS'!$AF$30:$AF$436,$AA244))</f>
        <v/>
      </c>
      <c r="I244" s="18" t="str">
        <f>IF($AA244=0,"",INDEX('13 - DATA &amp; LISTS'!$AG$30:$AG$436,$AA244))</f>
        <v/>
      </c>
      <c r="J244" s="18" t="str">
        <f>IF($AA244=0,"",INDEX('13 - DATA &amp; LISTS'!$AH$30:$AH$436,$AA244))</f>
        <v/>
      </c>
      <c r="K244" s="18" t="str">
        <f>IF($AA244=0,"",INDEX('13 - DATA &amp; LISTS'!$AI$30:$AI$436,$AA244))</f>
        <v/>
      </c>
      <c r="AA244">
        <f>IF(COUNTIF('13 - DATA &amp; LISTS'!$AK$30:$AK$436,"&lt;999999999999")&lt;236,0,MATCH(SMALL('13 - DATA &amp; LISTS'!$AK$30:$AK$436,236),'13 - DATA &amp; LISTS'!$AK$30:$AK$436,0))</f>
        <v>0</v>
      </c>
    </row>
    <row r="245" spans="1:27" ht="63.95" customHeight="1">
      <c r="A245" s="18" t="str">
        <f>IF($AA245=0,"",INDEX('13 - DATA &amp; LISTS'!$Y$30:$Y$436,$AA245))</f>
        <v/>
      </c>
      <c r="B245" s="18" t="str">
        <f>IF($AA245=0,"",INDEX('13 - DATA &amp; LISTS'!$Z$30:$Z$436,$AA245))</f>
        <v/>
      </c>
      <c r="C245" s="18" t="str">
        <f>IF($AA245=0,"",INDEX('13 - DATA &amp; LISTS'!$AA$30:$AA$436,$AA245))</f>
        <v/>
      </c>
      <c r="D245" s="18" t="str">
        <f>IF($AA245=0,"",INDEX('13 - DATA &amp; LISTS'!$AB$30:$AB$436,$AA245))</f>
        <v/>
      </c>
      <c r="E245" s="18" t="str">
        <f>IF($AA245=0,"",INDEX('13 - DATA &amp; LISTS'!$AC$30:$AC$436,$AA245))</f>
        <v/>
      </c>
      <c r="F245" s="18" t="str">
        <f>IF($AA245=0,"",INDEX('13 - DATA &amp; LISTS'!$AD$30:$AD$436,$AA245))</f>
        <v/>
      </c>
      <c r="G245" s="18" t="str">
        <f>IF($AA245=0,"",INDEX('13 - DATA &amp; LISTS'!$AE$30:$AE$436,$AA245))</f>
        <v/>
      </c>
      <c r="H245" s="19" t="str">
        <f>IF($AA245=0,"",INDEX('13 - DATA &amp; LISTS'!$AF$30:$AF$436,$AA245))</f>
        <v/>
      </c>
      <c r="I245" s="18" t="str">
        <f>IF($AA245=0,"",INDEX('13 - DATA &amp; LISTS'!$AG$30:$AG$436,$AA245))</f>
        <v/>
      </c>
      <c r="J245" s="18" t="str">
        <f>IF($AA245=0,"",INDEX('13 - DATA &amp; LISTS'!$AH$30:$AH$436,$AA245))</f>
        <v/>
      </c>
      <c r="K245" s="18" t="str">
        <f>IF($AA245=0,"",INDEX('13 - DATA &amp; LISTS'!$AI$30:$AI$436,$AA245))</f>
        <v/>
      </c>
      <c r="AA245">
        <f>IF(COUNTIF('13 - DATA &amp; LISTS'!$AK$30:$AK$436,"&lt;999999999999")&lt;237,0,MATCH(SMALL('13 - DATA &amp; LISTS'!$AK$30:$AK$436,237),'13 - DATA &amp; LISTS'!$AK$30:$AK$436,0))</f>
        <v>0</v>
      </c>
    </row>
    <row r="246" spans="1:27" ht="63.95" customHeight="1">
      <c r="A246" s="18" t="str">
        <f>IF($AA246=0,"",INDEX('13 - DATA &amp; LISTS'!$Y$30:$Y$436,$AA246))</f>
        <v/>
      </c>
      <c r="B246" s="18" t="str">
        <f>IF($AA246=0,"",INDEX('13 - DATA &amp; LISTS'!$Z$30:$Z$436,$AA246))</f>
        <v/>
      </c>
      <c r="C246" s="18" t="str">
        <f>IF($AA246=0,"",INDEX('13 - DATA &amp; LISTS'!$AA$30:$AA$436,$AA246))</f>
        <v/>
      </c>
      <c r="D246" s="18" t="str">
        <f>IF($AA246=0,"",INDEX('13 - DATA &amp; LISTS'!$AB$30:$AB$436,$AA246))</f>
        <v/>
      </c>
      <c r="E246" s="18" t="str">
        <f>IF($AA246=0,"",INDEX('13 - DATA &amp; LISTS'!$AC$30:$AC$436,$AA246))</f>
        <v/>
      </c>
      <c r="F246" s="18" t="str">
        <f>IF($AA246=0,"",INDEX('13 - DATA &amp; LISTS'!$AD$30:$AD$436,$AA246))</f>
        <v/>
      </c>
      <c r="G246" s="18" t="str">
        <f>IF($AA246=0,"",INDEX('13 - DATA &amp; LISTS'!$AE$30:$AE$436,$AA246))</f>
        <v/>
      </c>
      <c r="H246" s="19" t="str">
        <f>IF($AA246=0,"",INDEX('13 - DATA &amp; LISTS'!$AF$30:$AF$436,$AA246))</f>
        <v/>
      </c>
      <c r="I246" s="18" t="str">
        <f>IF($AA246=0,"",INDEX('13 - DATA &amp; LISTS'!$AG$30:$AG$436,$AA246))</f>
        <v/>
      </c>
      <c r="J246" s="18" t="str">
        <f>IF($AA246=0,"",INDEX('13 - DATA &amp; LISTS'!$AH$30:$AH$436,$AA246))</f>
        <v/>
      </c>
      <c r="K246" s="18" t="str">
        <f>IF($AA246=0,"",INDEX('13 - DATA &amp; LISTS'!$AI$30:$AI$436,$AA246))</f>
        <v/>
      </c>
      <c r="AA246">
        <f>IF(COUNTIF('13 - DATA &amp; LISTS'!$AK$30:$AK$436,"&lt;999999999999")&lt;238,0,MATCH(SMALL('13 - DATA &amp; LISTS'!$AK$30:$AK$436,238),'13 - DATA &amp; LISTS'!$AK$30:$AK$436,0))</f>
        <v>0</v>
      </c>
    </row>
    <row r="247" spans="1:27" ht="63.95" customHeight="1">
      <c r="A247" s="18" t="str">
        <f>IF($AA247=0,"",INDEX('13 - DATA &amp; LISTS'!$Y$30:$Y$436,$AA247))</f>
        <v/>
      </c>
      <c r="B247" s="18" t="str">
        <f>IF($AA247=0,"",INDEX('13 - DATA &amp; LISTS'!$Z$30:$Z$436,$AA247))</f>
        <v/>
      </c>
      <c r="C247" s="18" t="str">
        <f>IF($AA247=0,"",INDEX('13 - DATA &amp; LISTS'!$AA$30:$AA$436,$AA247))</f>
        <v/>
      </c>
      <c r="D247" s="18" t="str">
        <f>IF($AA247=0,"",INDEX('13 - DATA &amp; LISTS'!$AB$30:$AB$436,$AA247))</f>
        <v/>
      </c>
      <c r="E247" s="18" t="str">
        <f>IF($AA247=0,"",INDEX('13 - DATA &amp; LISTS'!$AC$30:$AC$436,$AA247))</f>
        <v/>
      </c>
      <c r="F247" s="18" t="str">
        <f>IF($AA247=0,"",INDEX('13 - DATA &amp; LISTS'!$AD$30:$AD$436,$AA247))</f>
        <v/>
      </c>
      <c r="G247" s="18" t="str">
        <f>IF($AA247=0,"",INDEX('13 - DATA &amp; LISTS'!$AE$30:$AE$436,$AA247))</f>
        <v/>
      </c>
      <c r="H247" s="19" t="str">
        <f>IF($AA247=0,"",INDEX('13 - DATA &amp; LISTS'!$AF$30:$AF$436,$AA247))</f>
        <v/>
      </c>
      <c r="I247" s="18" t="str">
        <f>IF($AA247=0,"",INDEX('13 - DATA &amp; LISTS'!$AG$30:$AG$436,$AA247))</f>
        <v/>
      </c>
      <c r="J247" s="18" t="str">
        <f>IF($AA247=0,"",INDEX('13 - DATA &amp; LISTS'!$AH$30:$AH$436,$AA247))</f>
        <v/>
      </c>
      <c r="K247" s="18" t="str">
        <f>IF($AA247=0,"",INDEX('13 - DATA &amp; LISTS'!$AI$30:$AI$436,$AA247))</f>
        <v/>
      </c>
      <c r="AA247">
        <f>IF(COUNTIF('13 - DATA &amp; LISTS'!$AK$30:$AK$436,"&lt;999999999999")&lt;239,0,MATCH(SMALL('13 - DATA &amp; LISTS'!$AK$30:$AK$436,239),'13 - DATA &amp; LISTS'!$AK$30:$AK$436,0))</f>
        <v>0</v>
      </c>
    </row>
    <row r="248" spans="1:27" ht="63.95" customHeight="1">
      <c r="A248" s="18" t="str">
        <f>IF($AA248=0,"",INDEX('13 - DATA &amp; LISTS'!$Y$30:$Y$436,$AA248))</f>
        <v/>
      </c>
      <c r="B248" s="18" t="str">
        <f>IF($AA248=0,"",INDEX('13 - DATA &amp; LISTS'!$Z$30:$Z$436,$AA248))</f>
        <v/>
      </c>
      <c r="C248" s="18" t="str">
        <f>IF($AA248=0,"",INDEX('13 - DATA &amp; LISTS'!$AA$30:$AA$436,$AA248))</f>
        <v/>
      </c>
      <c r="D248" s="18" t="str">
        <f>IF($AA248=0,"",INDEX('13 - DATA &amp; LISTS'!$AB$30:$AB$436,$AA248))</f>
        <v/>
      </c>
      <c r="E248" s="18" t="str">
        <f>IF($AA248=0,"",INDEX('13 - DATA &amp; LISTS'!$AC$30:$AC$436,$AA248))</f>
        <v/>
      </c>
      <c r="F248" s="18" t="str">
        <f>IF($AA248=0,"",INDEX('13 - DATA &amp; LISTS'!$AD$30:$AD$436,$AA248))</f>
        <v/>
      </c>
      <c r="G248" s="18" t="str">
        <f>IF($AA248=0,"",INDEX('13 - DATA &amp; LISTS'!$AE$30:$AE$436,$AA248))</f>
        <v/>
      </c>
      <c r="H248" s="19" t="str">
        <f>IF($AA248=0,"",INDEX('13 - DATA &amp; LISTS'!$AF$30:$AF$436,$AA248))</f>
        <v/>
      </c>
      <c r="I248" s="18" t="str">
        <f>IF($AA248=0,"",INDEX('13 - DATA &amp; LISTS'!$AG$30:$AG$436,$AA248))</f>
        <v/>
      </c>
      <c r="J248" s="18" t="str">
        <f>IF($AA248=0,"",INDEX('13 - DATA &amp; LISTS'!$AH$30:$AH$436,$AA248))</f>
        <v/>
      </c>
      <c r="K248" s="18" t="str">
        <f>IF($AA248=0,"",INDEX('13 - DATA &amp; LISTS'!$AI$30:$AI$436,$AA248))</f>
        <v/>
      </c>
      <c r="AA248">
        <f>IF(COUNTIF('13 - DATA &amp; LISTS'!$AK$30:$AK$436,"&lt;999999999999")&lt;240,0,MATCH(SMALL('13 - DATA &amp; LISTS'!$AK$30:$AK$436,240),'13 - DATA &amp; LISTS'!$AK$30:$AK$436,0))</f>
        <v>0</v>
      </c>
    </row>
    <row r="249" spans="1:27" ht="63.95" customHeight="1">
      <c r="A249" s="18" t="str">
        <f>IF($AA249=0,"",INDEX('13 - DATA &amp; LISTS'!$Y$30:$Y$436,$AA249))</f>
        <v/>
      </c>
      <c r="B249" s="18" t="str">
        <f>IF($AA249=0,"",INDEX('13 - DATA &amp; LISTS'!$Z$30:$Z$436,$AA249))</f>
        <v/>
      </c>
      <c r="C249" s="18" t="str">
        <f>IF($AA249=0,"",INDEX('13 - DATA &amp; LISTS'!$AA$30:$AA$436,$AA249))</f>
        <v/>
      </c>
      <c r="D249" s="18" t="str">
        <f>IF($AA249=0,"",INDEX('13 - DATA &amp; LISTS'!$AB$30:$AB$436,$AA249))</f>
        <v/>
      </c>
      <c r="E249" s="18" t="str">
        <f>IF($AA249=0,"",INDEX('13 - DATA &amp; LISTS'!$AC$30:$AC$436,$AA249))</f>
        <v/>
      </c>
      <c r="F249" s="18" t="str">
        <f>IF($AA249=0,"",INDEX('13 - DATA &amp; LISTS'!$AD$30:$AD$436,$AA249))</f>
        <v/>
      </c>
      <c r="G249" s="18" t="str">
        <f>IF($AA249=0,"",INDEX('13 - DATA &amp; LISTS'!$AE$30:$AE$436,$AA249))</f>
        <v/>
      </c>
      <c r="H249" s="19" t="str">
        <f>IF($AA249=0,"",INDEX('13 - DATA &amp; LISTS'!$AF$30:$AF$436,$AA249))</f>
        <v/>
      </c>
      <c r="I249" s="18" t="str">
        <f>IF($AA249=0,"",INDEX('13 - DATA &amp; LISTS'!$AG$30:$AG$436,$AA249))</f>
        <v/>
      </c>
      <c r="J249" s="18" t="str">
        <f>IF($AA249=0,"",INDEX('13 - DATA &amp; LISTS'!$AH$30:$AH$436,$AA249))</f>
        <v/>
      </c>
      <c r="K249" s="18" t="str">
        <f>IF($AA249=0,"",INDEX('13 - DATA &amp; LISTS'!$AI$30:$AI$436,$AA249))</f>
        <v/>
      </c>
      <c r="AA249">
        <f>IF(COUNTIF('13 - DATA &amp; LISTS'!$AK$30:$AK$436,"&lt;999999999999")&lt;241,0,MATCH(SMALL('13 - DATA &amp; LISTS'!$AK$30:$AK$436,241),'13 - DATA &amp; LISTS'!$AK$30:$AK$436,0))</f>
        <v>0</v>
      </c>
    </row>
    <row r="250" spans="1:27" ht="63.95" customHeight="1">
      <c r="A250" s="18" t="str">
        <f>IF($AA250=0,"",INDEX('13 - DATA &amp; LISTS'!$Y$30:$Y$436,$AA250))</f>
        <v/>
      </c>
      <c r="B250" s="18" t="str">
        <f>IF($AA250=0,"",INDEX('13 - DATA &amp; LISTS'!$Z$30:$Z$436,$AA250))</f>
        <v/>
      </c>
      <c r="C250" s="18" t="str">
        <f>IF($AA250=0,"",INDEX('13 - DATA &amp; LISTS'!$AA$30:$AA$436,$AA250))</f>
        <v/>
      </c>
      <c r="D250" s="18" t="str">
        <f>IF($AA250=0,"",INDEX('13 - DATA &amp; LISTS'!$AB$30:$AB$436,$AA250))</f>
        <v/>
      </c>
      <c r="E250" s="18" t="str">
        <f>IF($AA250=0,"",INDEX('13 - DATA &amp; LISTS'!$AC$30:$AC$436,$AA250))</f>
        <v/>
      </c>
      <c r="F250" s="18" t="str">
        <f>IF($AA250=0,"",INDEX('13 - DATA &amp; LISTS'!$AD$30:$AD$436,$AA250))</f>
        <v/>
      </c>
      <c r="G250" s="18" t="str">
        <f>IF($AA250=0,"",INDEX('13 - DATA &amp; LISTS'!$AE$30:$AE$436,$AA250))</f>
        <v/>
      </c>
      <c r="H250" s="19" t="str">
        <f>IF($AA250=0,"",INDEX('13 - DATA &amp; LISTS'!$AF$30:$AF$436,$AA250))</f>
        <v/>
      </c>
      <c r="I250" s="18" t="str">
        <f>IF($AA250=0,"",INDEX('13 - DATA &amp; LISTS'!$AG$30:$AG$436,$AA250))</f>
        <v/>
      </c>
      <c r="J250" s="18" t="str">
        <f>IF($AA250=0,"",INDEX('13 - DATA &amp; LISTS'!$AH$30:$AH$436,$AA250))</f>
        <v/>
      </c>
      <c r="K250" s="18" t="str">
        <f>IF($AA250=0,"",INDEX('13 - DATA &amp; LISTS'!$AI$30:$AI$436,$AA250))</f>
        <v/>
      </c>
      <c r="AA250">
        <f>IF(COUNTIF('13 - DATA &amp; LISTS'!$AK$30:$AK$436,"&lt;999999999999")&lt;242,0,MATCH(SMALL('13 - DATA &amp; LISTS'!$AK$30:$AK$436,242),'13 - DATA &amp; LISTS'!$AK$30:$AK$436,0))</f>
        <v>0</v>
      </c>
    </row>
    <row r="251" spans="1:27" ht="63.95" customHeight="1">
      <c r="A251" s="18" t="str">
        <f>IF($AA251=0,"",INDEX('13 - DATA &amp; LISTS'!$Y$30:$Y$436,$AA251))</f>
        <v/>
      </c>
      <c r="B251" s="18" t="str">
        <f>IF($AA251=0,"",INDEX('13 - DATA &amp; LISTS'!$Z$30:$Z$436,$AA251))</f>
        <v/>
      </c>
      <c r="C251" s="18" t="str">
        <f>IF($AA251=0,"",INDEX('13 - DATA &amp; LISTS'!$AA$30:$AA$436,$AA251))</f>
        <v/>
      </c>
      <c r="D251" s="18" t="str">
        <f>IF($AA251=0,"",INDEX('13 - DATA &amp; LISTS'!$AB$30:$AB$436,$AA251))</f>
        <v/>
      </c>
      <c r="E251" s="18" t="str">
        <f>IF($AA251=0,"",INDEX('13 - DATA &amp; LISTS'!$AC$30:$AC$436,$AA251))</f>
        <v/>
      </c>
      <c r="F251" s="18" t="str">
        <f>IF($AA251=0,"",INDEX('13 - DATA &amp; LISTS'!$AD$30:$AD$436,$AA251))</f>
        <v/>
      </c>
      <c r="G251" s="18" t="str">
        <f>IF($AA251=0,"",INDEX('13 - DATA &amp; LISTS'!$AE$30:$AE$436,$AA251))</f>
        <v/>
      </c>
      <c r="H251" s="19" t="str">
        <f>IF($AA251=0,"",INDEX('13 - DATA &amp; LISTS'!$AF$30:$AF$436,$AA251))</f>
        <v/>
      </c>
      <c r="I251" s="18" t="str">
        <f>IF($AA251=0,"",INDEX('13 - DATA &amp; LISTS'!$AG$30:$AG$436,$AA251))</f>
        <v/>
      </c>
      <c r="J251" s="18" t="str">
        <f>IF($AA251=0,"",INDEX('13 - DATA &amp; LISTS'!$AH$30:$AH$436,$AA251))</f>
        <v/>
      </c>
      <c r="K251" s="18" t="str">
        <f>IF($AA251=0,"",INDEX('13 - DATA &amp; LISTS'!$AI$30:$AI$436,$AA251))</f>
        <v/>
      </c>
      <c r="AA251">
        <f>IF(COUNTIF('13 - DATA &amp; LISTS'!$AK$30:$AK$436,"&lt;999999999999")&lt;243,0,MATCH(SMALL('13 - DATA &amp; LISTS'!$AK$30:$AK$436,243),'13 - DATA &amp; LISTS'!$AK$30:$AK$436,0))</f>
        <v>0</v>
      </c>
    </row>
    <row r="252" spans="1:27" ht="63.95" customHeight="1">
      <c r="A252" s="18" t="str">
        <f>IF($AA252=0,"",INDEX('13 - DATA &amp; LISTS'!$Y$30:$Y$436,$AA252))</f>
        <v/>
      </c>
      <c r="B252" s="18" t="str">
        <f>IF($AA252=0,"",INDEX('13 - DATA &amp; LISTS'!$Z$30:$Z$436,$AA252))</f>
        <v/>
      </c>
      <c r="C252" s="18" t="str">
        <f>IF($AA252=0,"",INDEX('13 - DATA &amp; LISTS'!$AA$30:$AA$436,$AA252))</f>
        <v/>
      </c>
      <c r="D252" s="18" t="str">
        <f>IF($AA252=0,"",INDEX('13 - DATA &amp; LISTS'!$AB$30:$AB$436,$AA252))</f>
        <v/>
      </c>
      <c r="E252" s="18" t="str">
        <f>IF($AA252=0,"",INDEX('13 - DATA &amp; LISTS'!$AC$30:$AC$436,$AA252))</f>
        <v/>
      </c>
      <c r="F252" s="18" t="str">
        <f>IF($AA252=0,"",INDEX('13 - DATA &amp; LISTS'!$AD$30:$AD$436,$AA252))</f>
        <v/>
      </c>
      <c r="G252" s="18" t="str">
        <f>IF($AA252=0,"",INDEX('13 - DATA &amp; LISTS'!$AE$30:$AE$436,$AA252))</f>
        <v/>
      </c>
      <c r="H252" s="19" t="str">
        <f>IF($AA252=0,"",INDEX('13 - DATA &amp; LISTS'!$AF$30:$AF$436,$AA252))</f>
        <v/>
      </c>
      <c r="I252" s="18" t="str">
        <f>IF($AA252=0,"",INDEX('13 - DATA &amp; LISTS'!$AG$30:$AG$436,$AA252))</f>
        <v/>
      </c>
      <c r="J252" s="18" t="str">
        <f>IF($AA252=0,"",INDEX('13 - DATA &amp; LISTS'!$AH$30:$AH$436,$AA252))</f>
        <v/>
      </c>
      <c r="K252" s="18" t="str">
        <f>IF($AA252=0,"",INDEX('13 - DATA &amp; LISTS'!$AI$30:$AI$436,$AA252))</f>
        <v/>
      </c>
      <c r="AA252">
        <f>IF(COUNTIF('13 - DATA &amp; LISTS'!$AK$30:$AK$436,"&lt;999999999999")&lt;244,0,MATCH(SMALL('13 - DATA &amp; LISTS'!$AK$30:$AK$436,244),'13 - DATA &amp; LISTS'!$AK$30:$AK$436,0))</f>
        <v>0</v>
      </c>
    </row>
    <row r="253" spans="1:27" ht="63.95" customHeight="1">
      <c r="A253" s="18" t="str">
        <f>IF($AA253=0,"",INDEX('13 - DATA &amp; LISTS'!$Y$30:$Y$436,$AA253))</f>
        <v/>
      </c>
      <c r="B253" s="18" t="str">
        <f>IF($AA253=0,"",INDEX('13 - DATA &amp; LISTS'!$Z$30:$Z$436,$AA253))</f>
        <v/>
      </c>
      <c r="C253" s="18" t="str">
        <f>IF($AA253=0,"",INDEX('13 - DATA &amp; LISTS'!$AA$30:$AA$436,$AA253))</f>
        <v/>
      </c>
      <c r="D253" s="18" t="str">
        <f>IF($AA253=0,"",INDEX('13 - DATA &amp; LISTS'!$AB$30:$AB$436,$AA253))</f>
        <v/>
      </c>
      <c r="E253" s="18" t="str">
        <f>IF($AA253=0,"",INDEX('13 - DATA &amp; LISTS'!$AC$30:$AC$436,$AA253))</f>
        <v/>
      </c>
      <c r="F253" s="18" t="str">
        <f>IF($AA253=0,"",INDEX('13 - DATA &amp; LISTS'!$AD$30:$AD$436,$AA253))</f>
        <v/>
      </c>
      <c r="G253" s="18" t="str">
        <f>IF($AA253=0,"",INDEX('13 - DATA &amp; LISTS'!$AE$30:$AE$436,$AA253))</f>
        <v/>
      </c>
      <c r="H253" s="19" t="str">
        <f>IF($AA253=0,"",INDEX('13 - DATA &amp; LISTS'!$AF$30:$AF$436,$AA253))</f>
        <v/>
      </c>
      <c r="I253" s="18" t="str">
        <f>IF($AA253=0,"",INDEX('13 - DATA &amp; LISTS'!$AG$30:$AG$436,$AA253))</f>
        <v/>
      </c>
      <c r="J253" s="18" t="str">
        <f>IF($AA253=0,"",INDEX('13 - DATA &amp; LISTS'!$AH$30:$AH$436,$AA253))</f>
        <v/>
      </c>
      <c r="K253" s="18" t="str">
        <f>IF($AA253=0,"",INDEX('13 - DATA &amp; LISTS'!$AI$30:$AI$436,$AA253))</f>
        <v/>
      </c>
      <c r="AA253">
        <f>IF(COUNTIF('13 - DATA &amp; LISTS'!$AK$30:$AK$436,"&lt;999999999999")&lt;245,0,MATCH(SMALL('13 - DATA &amp; LISTS'!$AK$30:$AK$436,245),'13 - DATA &amp; LISTS'!$AK$30:$AK$436,0))</f>
        <v>0</v>
      </c>
    </row>
    <row r="254" spans="1:27" ht="63.95" customHeight="1">
      <c r="A254" s="18" t="str">
        <f>IF($AA254=0,"",INDEX('13 - DATA &amp; LISTS'!$Y$30:$Y$436,$AA254))</f>
        <v/>
      </c>
      <c r="B254" s="18" t="str">
        <f>IF($AA254=0,"",INDEX('13 - DATA &amp; LISTS'!$Z$30:$Z$436,$AA254))</f>
        <v/>
      </c>
      <c r="C254" s="18" t="str">
        <f>IF($AA254=0,"",INDEX('13 - DATA &amp; LISTS'!$AA$30:$AA$436,$AA254))</f>
        <v/>
      </c>
      <c r="D254" s="18" t="str">
        <f>IF($AA254=0,"",INDEX('13 - DATA &amp; LISTS'!$AB$30:$AB$436,$AA254))</f>
        <v/>
      </c>
      <c r="E254" s="18" t="str">
        <f>IF($AA254=0,"",INDEX('13 - DATA &amp; LISTS'!$AC$30:$AC$436,$AA254))</f>
        <v/>
      </c>
      <c r="F254" s="18" t="str">
        <f>IF($AA254=0,"",INDEX('13 - DATA &amp; LISTS'!$AD$30:$AD$436,$AA254))</f>
        <v/>
      </c>
      <c r="G254" s="18" t="str">
        <f>IF($AA254=0,"",INDEX('13 - DATA &amp; LISTS'!$AE$30:$AE$436,$AA254))</f>
        <v/>
      </c>
      <c r="H254" s="19" t="str">
        <f>IF($AA254=0,"",INDEX('13 - DATA &amp; LISTS'!$AF$30:$AF$436,$AA254))</f>
        <v/>
      </c>
      <c r="I254" s="18" t="str">
        <f>IF($AA254=0,"",INDEX('13 - DATA &amp; LISTS'!$AG$30:$AG$436,$AA254))</f>
        <v/>
      </c>
      <c r="J254" s="18" t="str">
        <f>IF($AA254=0,"",INDEX('13 - DATA &amp; LISTS'!$AH$30:$AH$436,$AA254))</f>
        <v/>
      </c>
      <c r="K254" s="18" t="str">
        <f>IF($AA254=0,"",INDEX('13 - DATA &amp; LISTS'!$AI$30:$AI$436,$AA254))</f>
        <v/>
      </c>
      <c r="AA254">
        <f>IF(COUNTIF('13 - DATA &amp; LISTS'!$AK$30:$AK$436,"&lt;999999999999")&lt;246,0,MATCH(SMALL('13 - DATA &amp; LISTS'!$AK$30:$AK$436,246),'13 - DATA &amp; LISTS'!$AK$30:$AK$436,0))</f>
        <v>0</v>
      </c>
    </row>
    <row r="255" spans="1:27" ht="63.95" customHeight="1">
      <c r="A255" s="18" t="str">
        <f>IF($AA255=0,"",INDEX('13 - DATA &amp; LISTS'!$Y$30:$Y$436,$AA255))</f>
        <v/>
      </c>
      <c r="B255" s="18" t="str">
        <f>IF($AA255=0,"",INDEX('13 - DATA &amp; LISTS'!$Z$30:$Z$436,$AA255))</f>
        <v/>
      </c>
      <c r="C255" s="18" t="str">
        <f>IF($AA255=0,"",INDEX('13 - DATA &amp; LISTS'!$AA$30:$AA$436,$AA255))</f>
        <v/>
      </c>
      <c r="D255" s="18" t="str">
        <f>IF($AA255=0,"",INDEX('13 - DATA &amp; LISTS'!$AB$30:$AB$436,$AA255))</f>
        <v/>
      </c>
      <c r="E255" s="18" t="str">
        <f>IF($AA255=0,"",INDEX('13 - DATA &amp; LISTS'!$AC$30:$AC$436,$AA255))</f>
        <v/>
      </c>
      <c r="F255" s="18" t="str">
        <f>IF($AA255=0,"",INDEX('13 - DATA &amp; LISTS'!$AD$30:$AD$436,$AA255))</f>
        <v/>
      </c>
      <c r="G255" s="18" t="str">
        <f>IF($AA255=0,"",INDEX('13 - DATA &amp; LISTS'!$AE$30:$AE$436,$AA255))</f>
        <v/>
      </c>
      <c r="H255" s="19" t="str">
        <f>IF($AA255=0,"",INDEX('13 - DATA &amp; LISTS'!$AF$30:$AF$436,$AA255))</f>
        <v/>
      </c>
      <c r="I255" s="18" t="str">
        <f>IF($AA255=0,"",INDEX('13 - DATA &amp; LISTS'!$AG$30:$AG$436,$AA255))</f>
        <v/>
      </c>
      <c r="J255" s="18" t="str">
        <f>IF($AA255=0,"",INDEX('13 - DATA &amp; LISTS'!$AH$30:$AH$436,$AA255))</f>
        <v/>
      </c>
      <c r="K255" s="18" t="str">
        <f>IF($AA255=0,"",INDEX('13 - DATA &amp; LISTS'!$AI$30:$AI$436,$AA255))</f>
        <v/>
      </c>
      <c r="AA255">
        <f>IF(COUNTIF('13 - DATA &amp; LISTS'!$AK$30:$AK$436,"&lt;999999999999")&lt;247,0,MATCH(SMALL('13 - DATA &amp; LISTS'!$AK$30:$AK$436,247),'13 - DATA &amp; LISTS'!$AK$30:$AK$436,0))</f>
        <v>0</v>
      </c>
    </row>
    <row r="256" spans="1:27" ht="63.95" customHeight="1">
      <c r="A256" s="18" t="str">
        <f>IF($AA256=0,"",INDEX('13 - DATA &amp; LISTS'!$Y$30:$Y$436,$AA256))</f>
        <v/>
      </c>
      <c r="B256" s="18" t="str">
        <f>IF($AA256=0,"",INDEX('13 - DATA &amp; LISTS'!$Z$30:$Z$436,$AA256))</f>
        <v/>
      </c>
      <c r="C256" s="18" t="str">
        <f>IF($AA256=0,"",INDEX('13 - DATA &amp; LISTS'!$AA$30:$AA$436,$AA256))</f>
        <v/>
      </c>
      <c r="D256" s="18" t="str">
        <f>IF($AA256=0,"",INDEX('13 - DATA &amp; LISTS'!$AB$30:$AB$436,$AA256))</f>
        <v/>
      </c>
      <c r="E256" s="18" t="str">
        <f>IF($AA256=0,"",INDEX('13 - DATA &amp; LISTS'!$AC$30:$AC$436,$AA256))</f>
        <v/>
      </c>
      <c r="F256" s="18" t="str">
        <f>IF($AA256=0,"",INDEX('13 - DATA &amp; LISTS'!$AD$30:$AD$436,$AA256))</f>
        <v/>
      </c>
      <c r="G256" s="18" t="str">
        <f>IF($AA256=0,"",INDEX('13 - DATA &amp; LISTS'!$AE$30:$AE$436,$AA256))</f>
        <v/>
      </c>
      <c r="H256" s="19" t="str">
        <f>IF($AA256=0,"",INDEX('13 - DATA &amp; LISTS'!$AF$30:$AF$436,$AA256))</f>
        <v/>
      </c>
      <c r="I256" s="18" t="str">
        <f>IF($AA256=0,"",INDEX('13 - DATA &amp; LISTS'!$AG$30:$AG$436,$AA256))</f>
        <v/>
      </c>
      <c r="J256" s="18" t="str">
        <f>IF($AA256=0,"",INDEX('13 - DATA &amp; LISTS'!$AH$30:$AH$436,$AA256))</f>
        <v/>
      </c>
      <c r="K256" s="18" t="str">
        <f>IF($AA256=0,"",INDEX('13 - DATA &amp; LISTS'!$AI$30:$AI$436,$AA256))</f>
        <v/>
      </c>
      <c r="AA256">
        <f>IF(COUNTIF('13 - DATA &amp; LISTS'!$AK$30:$AK$436,"&lt;999999999999")&lt;248,0,MATCH(SMALL('13 - DATA &amp; LISTS'!$AK$30:$AK$436,248),'13 - DATA &amp; LISTS'!$AK$30:$AK$436,0))</f>
        <v>0</v>
      </c>
    </row>
    <row r="257" spans="1:27" ht="63.95" customHeight="1">
      <c r="A257" s="18" t="str">
        <f>IF($AA257=0,"",INDEX('13 - DATA &amp; LISTS'!$Y$30:$Y$436,$AA257))</f>
        <v/>
      </c>
      <c r="B257" s="18" t="str">
        <f>IF($AA257=0,"",INDEX('13 - DATA &amp; LISTS'!$Z$30:$Z$436,$AA257))</f>
        <v/>
      </c>
      <c r="C257" s="18" t="str">
        <f>IF($AA257=0,"",INDEX('13 - DATA &amp; LISTS'!$AA$30:$AA$436,$AA257))</f>
        <v/>
      </c>
      <c r="D257" s="18" t="str">
        <f>IF($AA257=0,"",INDEX('13 - DATA &amp; LISTS'!$AB$30:$AB$436,$AA257))</f>
        <v/>
      </c>
      <c r="E257" s="18" t="str">
        <f>IF($AA257=0,"",INDEX('13 - DATA &amp; LISTS'!$AC$30:$AC$436,$AA257))</f>
        <v/>
      </c>
      <c r="F257" s="18" t="str">
        <f>IF($AA257=0,"",INDEX('13 - DATA &amp; LISTS'!$AD$30:$AD$436,$AA257))</f>
        <v/>
      </c>
      <c r="G257" s="18" t="str">
        <f>IF($AA257=0,"",INDEX('13 - DATA &amp; LISTS'!$AE$30:$AE$436,$AA257))</f>
        <v/>
      </c>
      <c r="H257" s="19" t="str">
        <f>IF($AA257=0,"",INDEX('13 - DATA &amp; LISTS'!$AF$30:$AF$436,$AA257))</f>
        <v/>
      </c>
      <c r="I257" s="18" t="str">
        <f>IF($AA257=0,"",INDEX('13 - DATA &amp; LISTS'!$AG$30:$AG$436,$AA257))</f>
        <v/>
      </c>
      <c r="J257" s="18" t="str">
        <f>IF($AA257=0,"",INDEX('13 - DATA &amp; LISTS'!$AH$30:$AH$436,$AA257))</f>
        <v/>
      </c>
      <c r="K257" s="18" t="str">
        <f>IF($AA257=0,"",INDEX('13 - DATA &amp; LISTS'!$AI$30:$AI$436,$AA257))</f>
        <v/>
      </c>
      <c r="AA257">
        <f>IF(COUNTIF('13 - DATA &amp; LISTS'!$AK$30:$AK$436,"&lt;999999999999")&lt;249,0,MATCH(SMALL('13 - DATA &amp; LISTS'!$AK$30:$AK$436,249),'13 - DATA &amp; LISTS'!$AK$30:$AK$436,0))</f>
        <v>0</v>
      </c>
    </row>
    <row r="258" spans="1:27" ht="63.95" customHeight="1">
      <c r="A258" s="18" t="str">
        <f>IF($AA258=0,"",INDEX('13 - DATA &amp; LISTS'!$Y$30:$Y$436,$AA258))</f>
        <v/>
      </c>
      <c r="B258" s="18" t="str">
        <f>IF($AA258=0,"",INDEX('13 - DATA &amp; LISTS'!$Z$30:$Z$436,$AA258))</f>
        <v/>
      </c>
      <c r="C258" s="18" t="str">
        <f>IF($AA258=0,"",INDEX('13 - DATA &amp; LISTS'!$AA$30:$AA$436,$AA258))</f>
        <v/>
      </c>
      <c r="D258" s="18" t="str">
        <f>IF($AA258=0,"",INDEX('13 - DATA &amp; LISTS'!$AB$30:$AB$436,$AA258))</f>
        <v/>
      </c>
      <c r="E258" s="18" t="str">
        <f>IF($AA258=0,"",INDEX('13 - DATA &amp; LISTS'!$AC$30:$AC$436,$AA258))</f>
        <v/>
      </c>
      <c r="F258" s="18" t="str">
        <f>IF($AA258=0,"",INDEX('13 - DATA &amp; LISTS'!$AD$30:$AD$436,$AA258))</f>
        <v/>
      </c>
      <c r="G258" s="18" t="str">
        <f>IF($AA258=0,"",INDEX('13 - DATA &amp; LISTS'!$AE$30:$AE$436,$AA258))</f>
        <v/>
      </c>
      <c r="H258" s="19" t="str">
        <f>IF($AA258=0,"",INDEX('13 - DATA &amp; LISTS'!$AF$30:$AF$436,$AA258))</f>
        <v/>
      </c>
      <c r="I258" s="18" t="str">
        <f>IF($AA258=0,"",INDEX('13 - DATA &amp; LISTS'!$AG$30:$AG$436,$AA258))</f>
        <v/>
      </c>
      <c r="J258" s="18" t="str">
        <f>IF($AA258=0,"",INDEX('13 - DATA &amp; LISTS'!$AH$30:$AH$436,$AA258))</f>
        <v/>
      </c>
      <c r="K258" s="18" t="str">
        <f>IF($AA258=0,"",INDEX('13 - DATA &amp; LISTS'!$AI$30:$AI$436,$AA258))</f>
        <v/>
      </c>
      <c r="AA258">
        <f>IF(COUNTIF('13 - DATA &amp; LISTS'!$AK$30:$AK$436,"&lt;999999999999")&lt;250,0,MATCH(SMALL('13 - DATA &amp; LISTS'!$AK$30:$AK$436,250),'13 - DATA &amp; LISTS'!$AK$30:$AK$436,0))</f>
        <v>0</v>
      </c>
    </row>
    <row r="259" spans="1:27" ht="63.95" customHeight="1">
      <c r="A259" s="18" t="str">
        <f>IF($AA259=0,"",INDEX('13 - DATA &amp; LISTS'!$Y$30:$Y$436,$AA259))</f>
        <v/>
      </c>
      <c r="B259" s="18" t="str">
        <f>IF($AA259=0,"",INDEX('13 - DATA &amp; LISTS'!$Z$30:$Z$436,$AA259))</f>
        <v/>
      </c>
      <c r="C259" s="18" t="str">
        <f>IF($AA259=0,"",INDEX('13 - DATA &amp; LISTS'!$AA$30:$AA$436,$AA259))</f>
        <v/>
      </c>
      <c r="D259" s="18" t="str">
        <f>IF($AA259=0,"",INDEX('13 - DATA &amp; LISTS'!$AB$30:$AB$436,$AA259))</f>
        <v/>
      </c>
      <c r="E259" s="18" t="str">
        <f>IF($AA259=0,"",INDEX('13 - DATA &amp; LISTS'!$AC$30:$AC$436,$AA259))</f>
        <v/>
      </c>
      <c r="F259" s="18" t="str">
        <f>IF($AA259=0,"",INDEX('13 - DATA &amp; LISTS'!$AD$30:$AD$436,$AA259))</f>
        <v/>
      </c>
      <c r="G259" s="18" t="str">
        <f>IF($AA259=0,"",INDEX('13 - DATA &amp; LISTS'!$AE$30:$AE$436,$AA259))</f>
        <v/>
      </c>
      <c r="H259" s="19" t="str">
        <f>IF($AA259=0,"",INDEX('13 - DATA &amp; LISTS'!$AF$30:$AF$436,$AA259))</f>
        <v/>
      </c>
      <c r="I259" s="18" t="str">
        <f>IF($AA259=0,"",INDEX('13 - DATA &amp; LISTS'!$AG$30:$AG$436,$AA259))</f>
        <v/>
      </c>
      <c r="J259" s="18" t="str">
        <f>IF($AA259=0,"",INDEX('13 - DATA &amp; LISTS'!$AH$30:$AH$436,$AA259))</f>
        <v/>
      </c>
      <c r="K259" s="18" t="str">
        <f>IF($AA259=0,"",INDEX('13 - DATA &amp; LISTS'!$AI$30:$AI$436,$AA259))</f>
        <v/>
      </c>
      <c r="AA259">
        <f>IF(COUNTIF('13 - DATA &amp; LISTS'!$AK$30:$AK$436,"&lt;999999999999")&lt;251,0,MATCH(SMALL('13 - DATA &amp; LISTS'!$AK$30:$AK$436,251),'13 - DATA &amp; LISTS'!$AK$30:$AK$436,0))</f>
        <v>0</v>
      </c>
    </row>
    <row r="260" spans="1:27" ht="63.95" customHeight="1">
      <c r="A260" s="18" t="str">
        <f>IF($AA260=0,"",INDEX('13 - DATA &amp; LISTS'!$Y$30:$Y$436,$AA260))</f>
        <v/>
      </c>
      <c r="B260" s="18" t="str">
        <f>IF($AA260=0,"",INDEX('13 - DATA &amp; LISTS'!$Z$30:$Z$436,$AA260))</f>
        <v/>
      </c>
      <c r="C260" s="18" t="str">
        <f>IF($AA260=0,"",INDEX('13 - DATA &amp; LISTS'!$AA$30:$AA$436,$AA260))</f>
        <v/>
      </c>
      <c r="D260" s="18" t="str">
        <f>IF($AA260=0,"",INDEX('13 - DATA &amp; LISTS'!$AB$30:$AB$436,$AA260))</f>
        <v/>
      </c>
      <c r="E260" s="18" t="str">
        <f>IF($AA260=0,"",INDEX('13 - DATA &amp; LISTS'!$AC$30:$AC$436,$AA260))</f>
        <v/>
      </c>
      <c r="F260" s="18" t="str">
        <f>IF($AA260=0,"",INDEX('13 - DATA &amp; LISTS'!$AD$30:$AD$436,$AA260))</f>
        <v/>
      </c>
      <c r="G260" s="18" t="str">
        <f>IF($AA260=0,"",INDEX('13 - DATA &amp; LISTS'!$AE$30:$AE$436,$AA260))</f>
        <v/>
      </c>
      <c r="H260" s="19" t="str">
        <f>IF($AA260=0,"",INDEX('13 - DATA &amp; LISTS'!$AF$30:$AF$436,$AA260))</f>
        <v/>
      </c>
      <c r="I260" s="18" t="str">
        <f>IF($AA260=0,"",INDEX('13 - DATA &amp; LISTS'!$AG$30:$AG$436,$AA260))</f>
        <v/>
      </c>
      <c r="J260" s="18" t="str">
        <f>IF($AA260=0,"",INDEX('13 - DATA &amp; LISTS'!$AH$30:$AH$436,$AA260))</f>
        <v/>
      </c>
      <c r="K260" s="18" t="str">
        <f>IF($AA260=0,"",INDEX('13 - DATA &amp; LISTS'!$AI$30:$AI$436,$AA260))</f>
        <v/>
      </c>
      <c r="AA260">
        <f>IF(COUNTIF('13 - DATA &amp; LISTS'!$AK$30:$AK$436,"&lt;999999999999")&lt;252,0,MATCH(SMALL('13 - DATA &amp; LISTS'!$AK$30:$AK$436,252),'13 - DATA &amp; LISTS'!$AK$30:$AK$436,0))</f>
        <v>0</v>
      </c>
    </row>
    <row r="261" spans="1:27" ht="63.95" customHeight="1">
      <c r="A261" s="18" t="str">
        <f>IF($AA261=0,"",INDEX('13 - DATA &amp; LISTS'!$Y$30:$Y$436,$AA261))</f>
        <v/>
      </c>
      <c r="B261" s="18" t="str">
        <f>IF($AA261=0,"",INDEX('13 - DATA &amp; LISTS'!$Z$30:$Z$436,$AA261))</f>
        <v/>
      </c>
      <c r="C261" s="18" t="str">
        <f>IF($AA261=0,"",INDEX('13 - DATA &amp; LISTS'!$AA$30:$AA$436,$AA261))</f>
        <v/>
      </c>
      <c r="D261" s="18" t="str">
        <f>IF($AA261=0,"",INDEX('13 - DATA &amp; LISTS'!$AB$30:$AB$436,$AA261))</f>
        <v/>
      </c>
      <c r="E261" s="18" t="str">
        <f>IF($AA261=0,"",INDEX('13 - DATA &amp; LISTS'!$AC$30:$AC$436,$AA261))</f>
        <v/>
      </c>
      <c r="F261" s="18" t="str">
        <f>IF($AA261=0,"",INDEX('13 - DATA &amp; LISTS'!$AD$30:$AD$436,$AA261))</f>
        <v/>
      </c>
      <c r="G261" s="18" t="str">
        <f>IF($AA261=0,"",INDEX('13 - DATA &amp; LISTS'!$AE$30:$AE$436,$AA261))</f>
        <v/>
      </c>
      <c r="H261" s="19" t="str">
        <f>IF($AA261=0,"",INDEX('13 - DATA &amp; LISTS'!$AF$30:$AF$436,$AA261))</f>
        <v/>
      </c>
      <c r="I261" s="18" t="str">
        <f>IF($AA261=0,"",INDEX('13 - DATA &amp; LISTS'!$AG$30:$AG$436,$AA261))</f>
        <v/>
      </c>
      <c r="J261" s="18" t="str">
        <f>IF($AA261=0,"",INDEX('13 - DATA &amp; LISTS'!$AH$30:$AH$436,$AA261))</f>
        <v/>
      </c>
      <c r="K261" s="18" t="str">
        <f>IF($AA261=0,"",INDEX('13 - DATA &amp; LISTS'!$AI$30:$AI$436,$AA261))</f>
        <v/>
      </c>
      <c r="AA261">
        <f>IF(COUNTIF('13 - DATA &amp; LISTS'!$AK$30:$AK$436,"&lt;999999999999")&lt;253,0,MATCH(SMALL('13 - DATA &amp; LISTS'!$AK$30:$AK$436,253),'13 - DATA &amp; LISTS'!$AK$30:$AK$436,0))</f>
        <v>0</v>
      </c>
    </row>
    <row r="262" spans="1:27" ht="63.95" customHeight="1">
      <c r="A262" s="18" t="str">
        <f>IF($AA262=0,"",INDEX('13 - DATA &amp; LISTS'!$Y$30:$Y$436,$AA262))</f>
        <v/>
      </c>
      <c r="B262" s="18" t="str">
        <f>IF($AA262=0,"",INDEX('13 - DATA &amp; LISTS'!$Z$30:$Z$436,$AA262))</f>
        <v/>
      </c>
      <c r="C262" s="18" t="str">
        <f>IF($AA262=0,"",INDEX('13 - DATA &amp; LISTS'!$AA$30:$AA$436,$AA262))</f>
        <v/>
      </c>
      <c r="D262" s="18" t="str">
        <f>IF($AA262=0,"",INDEX('13 - DATA &amp; LISTS'!$AB$30:$AB$436,$AA262))</f>
        <v/>
      </c>
      <c r="E262" s="18" t="str">
        <f>IF($AA262=0,"",INDEX('13 - DATA &amp; LISTS'!$AC$30:$AC$436,$AA262))</f>
        <v/>
      </c>
      <c r="F262" s="18" t="str">
        <f>IF($AA262=0,"",INDEX('13 - DATA &amp; LISTS'!$AD$30:$AD$436,$AA262))</f>
        <v/>
      </c>
      <c r="G262" s="18" t="str">
        <f>IF($AA262=0,"",INDEX('13 - DATA &amp; LISTS'!$AE$30:$AE$436,$AA262))</f>
        <v/>
      </c>
      <c r="H262" s="19" t="str">
        <f>IF($AA262=0,"",INDEX('13 - DATA &amp; LISTS'!$AF$30:$AF$436,$AA262))</f>
        <v/>
      </c>
      <c r="I262" s="18" t="str">
        <f>IF($AA262=0,"",INDEX('13 - DATA &amp; LISTS'!$AG$30:$AG$436,$AA262))</f>
        <v/>
      </c>
      <c r="J262" s="18" t="str">
        <f>IF($AA262=0,"",INDEX('13 - DATA &amp; LISTS'!$AH$30:$AH$436,$AA262))</f>
        <v/>
      </c>
      <c r="K262" s="18" t="str">
        <f>IF($AA262=0,"",INDEX('13 - DATA &amp; LISTS'!$AI$30:$AI$436,$AA262))</f>
        <v/>
      </c>
      <c r="AA262">
        <f>IF(COUNTIF('13 - DATA &amp; LISTS'!$AK$30:$AK$436,"&lt;999999999999")&lt;254,0,MATCH(SMALL('13 - DATA &amp; LISTS'!$AK$30:$AK$436,254),'13 - DATA &amp; LISTS'!$AK$30:$AK$436,0))</f>
        <v>0</v>
      </c>
    </row>
    <row r="263" spans="1:27" ht="63.95" customHeight="1">
      <c r="A263" s="18" t="str">
        <f>IF($AA263=0,"",INDEX('13 - DATA &amp; LISTS'!$Y$30:$Y$436,$AA263))</f>
        <v/>
      </c>
      <c r="B263" s="18" t="str">
        <f>IF($AA263=0,"",INDEX('13 - DATA &amp; LISTS'!$Z$30:$Z$436,$AA263))</f>
        <v/>
      </c>
      <c r="C263" s="18" t="str">
        <f>IF($AA263=0,"",INDEX('13 - DATA &amp; LISTS'!$AA$30:$AA$436,$AA263))</f>
        <v/>
      </c>
      <c r="D263" s="18" t="str">
        <f>IF($AA263=0,"",INDEX('13 - DATA &amp; LISTS'!$AB$30:$AB$436,$AA263))</f>
        <v/>
      </c>
      <c r="E263" s="18" t="str">
        <f>IF($AA263=0,"",INDEX('13 - DATA &amp; LISTS'!$AC$30:$AC$436,$AA263))</f>
        <v/>
      </c>
      <c r="F263" s="18" t="str">
        <f>IF($AA263=0,"",INDEX('13 - DATA &amp; LISTS'!$AD$30:$AD$436,$AA263))</f>
        <v/>
      </c>
      <c r="G263" s="18" t="str">
        <f>IF($AA263=0,"",INDEX('13 - DATA &amp; LISTS'!$AE$30:$AE$436,$AA263))</f>
        <v/>
      </c>
      <c r="H263" s="19" t="str">
        <f>IF($AA263=0,"",INDEX('13 - DATA &amp; LISTS'!$AF$30:$AF$436,$AA263))</f>
        <v/>
      </c>
      <c r="I263" s="18" t="str">
        <f>IF($AA263=0,"",INDEX('13 - DATA &amp; LISTS'!$AG$30:$AG$436,$AA263))</f>
        <v/>
      </c>
      <c r="J263" s="18" t="str">
        <f>IF($AA263=0,"",INDEX('13 - DATA &amp; LISTS'!$AH$30:$AH$436,$AA263))</f>
        <v/>
      </c>
      <c r="K263" s="18" t="str">
        <f>IF($AA263=0,"",INDEX('13 - DATA &amp; LISTS'!$AI$30:$AI$436,$AA263))</f>
        <v/>
      </c>
      <c r="AA263">
        <f>IF(COUNTIF('13 - DATA &amp; LISTS'!$AK$30:$AK$436,"&lt;999999999999")&lt;255,0,MATCH(SMALL('13 - DATA &amp; LISTS'!$AK$30:$AK$436,255),'13 - DATA &amp; LISTS'!$AK$30:$AK$436,0))</f>
        <v>0</v>
      </c>
    </row>
    <row r="264" spans="1:27" ht="63.95" customHeight="1">
      <c r="A264" s="18" t="str">
        <f>IF($AA264=0,"",INDEX('13 - DATA &amp; LISTS'!$Y$30:$Y$436,$AA264))</f>
        <v/>
      </c>
      <c r="B264" s="18" t="str">
        <f>IF($AA264=0,"",INDEX('13 - DATA &amp; LISTS'!$Z$30:$Z$436,$AA264))</f>
        <v/>
      </c>
      <c r="C264" s="18" t="str">
        <f>IF($AA264=0,"",INDEX('13 - DATA &amp; LISTS'!$AA$30:$AA$436,$AA264))</f>
        <v/>
      </c>
      <c r="D264" s="18" t="str">
        <f>IF($AA264=0,"",INDEX('13 - DATA &amp; LISTS'!$AB$30:$AB$436,$AA264))</f>
        <v/>
      </c>
      <c r="E264" s="18" t="str">
        <f>IF($AA264=0,"",INDEX('13 - DATA &amp; LISTS'!$AC$30:$AC$436,$AA264))</f>
        <v/>
      </c>
      <c r="F264" s="18" t="str">
        <f>IF($AA264=0,"",INDEX('13 - DATA &amp; LISTS'!$AD$30:$AD$436,$AA264))</f>
        <v/>
      </c>
      <c r="G264" s="18" t="str">
        <f>IF($AA264=0,"",INDEX('13 - DATA &amp; LISTS'!$AE$30:$AE$436,$AA264))</f>
        <v/>
      </c>
      <c r="H264" s="19" t="str">
        <f>IF($AA264=0,"",INDEX('13 - DATA &amp; LISTS'!$AF$30:$AF$436,$AA264))</f>
        <v/>
      </c>
      <c r="I264" s="18" t="str">
        <f>IF($AA264=0,"",INDEX('13 - DATA &amp; LISTS'!$AG$30:$AG$436,$AA264))</f>
        <v/>
      </c>
      <c r="J264" s="18" t="str">
        <f>IF($AA264=0,"",INDEX('13 - DATA &amp; LISTS'!$AH$30:$AH$436,$AA264))</f>
        <v/>
      </c>
      <c r="K264" s="18" t="str">
        <f>IF($AA264=0,"",INDEX('13 - DATA &amp; LISTS'!$AI$30:$AI$436,$AA264))</f>
        <v/>
      </c>
      <c r="AA264">
        <f>IF(COUNTIF('13 - DATA &amp; LISTS'!$AK$30:$AK$436,"&lt;999999999999")&lt;256,0,MATCH(SMALL('13 - DATA &amp; LISTS'!$AK$30:$AK$436,256),'13 - DATA &amp; LISTS'!$AK$30:$AK$436,0))</f>
        <v>0</v>
      </c>
    </row>
    <row r="265" spans="1:27" ht="63.95" customHeight="1">
      <c r="A265" s="18" t="str">
        <f>IF($AA265=0,"",INDEX('13 - DATA &amp; LISTS'!$Y$30:$Y$436,$AA265))</f>
        <v/>
      </c>
      <c r="B265" s="18" t="str">
        <f>IF($AA265=0,"",INDEX('13 - DATA &amp; LISTS'!$Z$30:$Z$436,$AA265))</f>
        <v/>
      </c>
      <c r="C265" s="18" t="str">
        <f>IF($AA265=0,"",INDEX('13 - DATA &amp; LISTS'!$AA$30:$AA$436,$AA265))</f>
        <v/>
      </c>
      <c r="D265" s="18" t="str">
        <f>IF($AA265=0,"",INDEX('13 - DATA &amp; LISTS'!$AB$30:$AB$436,$AA265))</f>
        <v/>
      </c>
      <c r="E265" s="18" t="str">
        <f>IF($AA265=0,"",INDEX('13 - DATA &amp; LISTS'!$AC$30:$AC$436,$AA265))</f>
        <v/>
      </c>
      <c r="F265" s="18" t="str">
        <f>IF($AA265=0,"",INDEX('13 - DATA &amp; LISTS'!$AD$30:$AD$436,$AA265))</f>
        <v/>
      </c>
      <c r="G265" s="18" t="str">
        <f>IF($AA265=0,"",INDEX('13 - DATA &amp; LISTS'!$AE$30:$AE$436,$AA265))</f>
        <v/>
      </c>
      <c r="H265" s="19" t="str">
        <f>IF($AA265=0,"",INDEX('13 - DATA &amp; LISTS'!$AF$30:$AF$436,$AA265))</f>
        <v/>
      </c>
      <c r="I265" s="18" t="str">
        <f>IF($AA265=0,"",INDEX('13 - DATA &amp; LISTS'!$AG$30:$AG$436,$AA265))</f>
        <v/>
      </c>
      <c r="J265" s="18" t="str">
        <f>IF($AA265=0,"",INDEX('13 - DATA &amp; LISTS'!$AH$30:$AH$436,$AA265))</f>
        <v/>
      </c>
      <c r="K265" s="18" t="str">
        <f>IF($AA265=0,"",INDEX('13 - DATA &amp; LISTS'!$AI$30:$AI$436,$AA265))</f>
        <v/>
      </c>
      <c r="AA265">
        <f>IF(COUNTIF('13 - DATA &amp; LISTS'!$AK$30:$AK$436,"&lt;999999999999")&lt;257,0,MATCH(SMALL('13 - DATA &amp; LISTS'!$AK$30:$AK$436,257),'13 - DATA &amp; LISTS'!$AK$30:$AK$436,0))</f>
        <v>0</v>
      </c>
    </row>
    <row r="266" spans="1:27" ht="63.95" customHeight="1">
      <c r="A266" s="18" t="str">
        <f>IF($AA266=0,"",INDEX('13 - DATA &amp; LISTS'!$Y$30:$Y$436,$AA266))</f>
        <v/>
      </c>
      <c r="B266" s="18" t="str">
        <f>IF($AA266=0,"",INDEX('13 - DATA &amp; LISTS'!$Z$30:$Z$436,$AA266))</f>
        <v/>
      </c>
      <c r="C266" s="18" t="str">
        <f>IF($AA266=0,"",INDEX('13 - DATA &amp; LISTS'!$AA$30:$AA$436,$AA266))</f>
        <v/>
      </c>
      <c r="D266" s="18" t="str">
        <f>IF($AA266=0,"",INDEX('13 - DATA &amp; LISTS'!$AB$30:$AB$436,$AA266))</f>
        <v/>
      </c>
      <c r="E266" s="18" t="str">
        <f>IF($AA266=0,"",INDEX('13 - DATA &amp; LISTS'!$AC$30:$AC$436,$AA266))</f>
        <v/>
      </c>
      <c r="F266" s="18" t="str">
        <f>IF($AA266=0,"",INDEX('13 - DATA &amp; LISTS'!$AD$30:$AD$436,$AA266))</f>
        <v/>
      </c>
      <c r="G266" s="18" t="str">
        <f>IF($AA266=0,"",INDEX('13 - DATA &amp; LISTS'!$AE$30:$AE$436,$AA266))</f>
        <v/>
      </c>
      <c r="H266" s="19" t="str">
        <f>IF($AA266=0,"",INDEX('13 - DATA &amp; LISTS'!$AF$30:$AF$436,$AA266))</f>
        <v/>
      </c>
      <c r="I266" s="18" t="str">
        <f>IF($AA266=0,"",INDEX('13 - DATA &amp; LISTS'!$AG$30:$AG$436,$AA266))</f>
        <v/>
      </c>
      <c r="J266" s="18" t="str">
        <f>IF($AA266=0,"",INDEX('13 - DATA &amp; LISTS'!$AH$30:$AH$436,$AA266))</f>
        <v/>
      </c>
      <c r="K266" s="18" t="str">
        <f>IF($AA266=0,"",INDEX('13 - DATA &amp; LISTS'!$AI$30:$AI$436,$AA266))</f>
        <v/>
      </c>
      <c r="AA266">
        <f>IF(COUNTIF('13 - DATA &amp; LISTS'!$AK$30:$AK$436,"&lt;999999999999")&lt;258,0,MATCH(SMALL('13 - DATA &amp; LISTS'!$AK$30:$AK$436,258),'13 - DATA &amp; LISTS'!$AK$30:$AK$436,0))</f>
        <v>0</v>
      </c>
    </row>
    <row r="267" spans="1:27" ht="63.95" customHeight="1">
      <c r="A267" s="18" t="str">
        <f>IF($AA267=0,"",INDEX('13 - DATA &amp; LISTS'!$Y$30:$Y$436,$AA267))</f>
        <v/>
      </c>
      <c r="B267" s="18" t="str">
        <f>IF($AA267=0,"",INDEX('13 - DATA &amp; LISTS'!$Z$30:$Z$436,$AA267))</f>
        <v/>
      </c>
      <c r="C267" s="18" t="str">
        <f>IF($AA267=0,"",INDEX('13 - DATA &amp; LISTS'!$AA$30:$AA$436,$AA267))</f>
        <v/>
      </c>
      <c r="D267" s="18" t="str">
        <f>IF($AA267=0,"",INDEX('13 - DATA &amp; LISTS'!$AB$30:$AB$436,$AA267))</f>
        <v/>
      </c>
      <c r="E267" s="18" t="str">
        <f>IF($AA267=0,"",INDEX('13 - DATA &amp; LISTS'!$AC$30:$AC$436,$AA267))</f>
        <v/>
      </c>
      <c r="F267" s="18" t="str">
        <f>IF($AA267=0,"",INDEX('13 - DATA &amp; LISTS'!$AD$30:$AD$436,$AA267))</f>
        <v/>
      </c>
      <c r="G267" s="18" t="str">
        <f>IF($AA267=0,"",INDEX('13 - DATA &amp; LISTS'!$AE$30:$AE$436,$AA267))</f>
        <v/>
      </c>
      <c r="H267" s="19" t="str">
        <f>IF($AA267=0,"",INDEX('13 - DATA &amp; LISTS'!$AF$30:$AF$436,$AA267))</f>
        <v/>
      </c>
      <c r="I267" s="18" t="str">
        <f>IF($AA267=0,"",INDEX('13 - DATA &amp; LISTS'!$AG$30:$AG$436,$AA267))</f>
        <v/>
      </c>
      <c r="J267" s="18" t="str">
        <f>IF($AA267=0,"",INDEX('13 - DATA &amp; LISTS'!$AH$30:$AH$436,$AA267))</f>
        <v/>
      </c>
      <c r="K267" s="18" t="str">
        <f>IF($AA267=0,"",INDEX('13 - DATA &amp; LISTS'!$AI$30:$AI$436,$AA267))</f>
        <v/>
      </c>
      <c r="AA267">
        <f>IF(COUNTIF('13 - DATA &amp; LISTS'!$AK$30:$AK$436,"&lt;999999999999")&lt;259,0,MATCH(SMALL('13 - DATA &amp; LISTS'!$AK$30:$AK$436,259),'13 - DATA &amp; LISTS'!$AK$30:$AK$436,0))</f>
        <v>0</v>
      </c>
    </row>
    <row r="268" spans="1:27" ht="63.95" customHeight="1">
      <c r="A268" s="18" t="str">
        <f>IF($AA268=0,"",INDEX('13 - DATA &amp; LISTS'!$Y$30:$Y$436,$AA268))</f>
        <v/>
      </c>
      <c r="B268" s="18" t="str">
        <f>IF($AA268=0,"",INDEX('13 - DATA &amp; LISTS'!$Z$30:$Z$436,$AA268))</f>
        <v/>
      </c>
      <c r="C268" s="18" t="str">
        <f>IF($AA268=0,"",INDEX('13 - DATA &amp; LISTS'!$AA$30:$AA$436,$AA268))</f>
        <v/>
      </c>
      <c r="D268" s="18" t="str">
        <f>IF($AA268=0,"",INDEX('13 - DATA &amp; LISTS'!$AB$30:$AB$436,$AA268))</f>
        <v/>
      </c>
      <c r="E268" s="18" t="str">
        <f>IF($AA268=0,"",INDEX('13 - DATA &amp; LISTS'!$AC$30:$AC$436,$AA268))</f>
        <v/>
      </c>
      <c r="F268" s="18" t="str">
        <f>IF($AA268=0,"",INDEX('13 - DATA &amp; LISTS'!$AD$30:$AD$436,$AA268))</f>
        <v/>
      </c>
      <c r="G268" s="18" t="str">
        <f>IF($AA268=0,"",INDEX('13 - DATA &amp; LISTS'!$AE$30:$AE$436,$AA268))</f>
        <v/>
      </c>
      <c r="H268" s="19" t="str">
        <f>IF($AA268=0,"",INDEX('13 - DATA &amp; LISTS'!$AF$30:$AF$436,$AA268))</f>
        <v/>
      </c>
      <c r="I268" s="18" t="str">
        <f>IF($AA268=0,"",INDEX('13 - DATA &amp; LISTS'!$AG$30:$AG$436,$AA268))</f>
        <v/>
      </c>
      <c r="J268" s="18" t="str">
        <f>IF($AA268=0,"",INDEX('13 - DATA &amp; LISTS'!$AH$30:$AH$436,$AA268))</f>
        <v/>
      </c>
      <c r="K268" s="18" t="str">
        <f>IF($AA268=0,"",INDEX('13 - DATA &amp; LISTS'!$AI$30:$AI$436,$AA268))</f>
        <v/>
      </c>
      <c r="AA268">
        <f>IF(COUNTIF('13 - DATA &amp; LISTS'!$AK$30:$AK$436,"&lt;999999999999")&lt;260,0,MATCH(SMALL('13 - DATA &amp; LISTS'!$AK$30:$AK$436,260),'13 - DATA &amp; LISTS'!$AK$30:$AK$436,0))</f>
        <v>0</v>
      </c>
    </row>
    <row r="269" spans="1:27" ht="63.95" customHeight="1">
      <c r="A269" s="18" t="str">
        <f>IF($AA269=0,"",INDEX('13 - DATA &amp; LISTS'!$Y$30:$Y$436,$AA269))</f>
        <v/>
      </c>
      <c r="B269" s="18" t="str">
        <f>IF($AA269=0,"",INDEX('13 - DATA &amp; LISTS'!$Z$30:$Z$436,$AA269))</f>
        <v/>
      </c>
      <c r="C269" s="18" t="str">
        <f>IF($AA269=0,"",INDEX('13 - DATA &amp; LISTS'!$AA$30:$AA$436,$AA269))</f>
        <v/>
      </c>
      <c r="D269" s="18" t="str">
        <f>IF($AA269=0,"",INDEX('13 - DATA &amp; LISTS'!$AB$30:$AB$436,$AA269))</f>
        <v/>
      </c>
      <c r="E269" s="18" t="str">
        <f>IF($AA269=0,"",INDEX('13 - DATA &amp; LISTS'!$AC$30:$AC$436,$AA269))</f>
        <v/>
      </c>
      <c r="F269" s="18" t="str">
        <f>IF($AA269=0,"",INDEX('13 - DATA &amp; LISTS'!$AD$30:$AD$436,$AA269))</f>
        <v/>
      </c>
      <c r="G269" s="18" t="str">
        <f>IF($AA269=0,"",INDEX('13 - DATA &amp; LISTS'!$AE$30:$AE$436,$AA269))</f>
        <v/>
      </c>
      <c r="H269" s="19" t="str">
        <f>IF($AA269=0,"",INDEX('13 - DATA &amp; LISTS'!$AF$30:$AF$436,$AA269))</f>
        <v/>
      </c>
      <c r="I269" s="18" t="str">
        <f>IF($AA269=0,"",INDEX('13 - DATA &amp; LISTS'!$AG$30:$AG$436,$AA269))</f>
        <v/>
      </c>
      <c r="J269" s="18" t="str">
        <f>IF($AA269=0,"",INDEX('13 - DATA &amp; LISTS'!$AH$30:$AH$436,$AA269))</f>
        <v/>
      </c>
      <c r="K269" s="18" t="str">
        <f>IF($AA269=0,"",INDEX('13 - DATA &amp; LISTS'!$AI$30:$AI$436,$AA269))</f>
        <v/>
      </c>
      <c r="AA269">
        <f>IF(COUNTIF('13 - DATA &amp; LISTS'!$AK$30:$AK$436,"&lt;999999999999")&lt;261,0,MATCH(SMALL('13 - DATA &amp; LISTS'!$AK$30:$AK$436,261),'13 - DATA &amp; LISTS'!$AK$30:$AK$436,0))</f>
        <v>0</v>
      </c>
    </row>
    <row r="270" spans="1:27" ht="63.95" customHeight="1">
      <c r="A270" s="18" t="str">
        <f>IF($AA270=0,"",INDEX('13 - DATA &amp; LISTS'!$Y$30:$Y$436,$AA270))</f>
        <v/>
      </c>
      <c r="B270" s="18" t="str">
        <f>IF($AA270=0,"",INDEX('13 - DATA &amp; LISTS'!$Z$30:$Z$436,$AA270))</f>
        <v/>
      </c>
      <c r="C270" s="18" t="str">
        <f>IF($AA270=0,"",INDEX('13 - DATA &amp; LISTS'!$AA$30:$AA$436,$AA270))</f>
        <v/>
      </c>
      <c r="D270" s="18" t="str">
        <f>IF($AA270=0,"",INDEX('13 - DATA &amp; LISTS'!$AB$30:$AB$436,$AA270))</f>
        <v/>
      </c>
      <c r="E270" s="18" t="str">
        <f>IF($AA270=0,"",INDEX('13 - DATA &amp; LISTS'!$AC$30:$AC$436,$AA270))</f>
        <v/>
      </c>
      <c r="F270" s="18" t="str">
        <f>IF($AA270=0,"",INDEX('13 - DATA &amp; LISTS'!$AD$30:$AD$436,$AA270))</f>
        <v/>
      </c>
      <c r="G270" s="18" t="str">
        <f>IF($AA270=0,"",INDEX('13 - DATA &amp; LISTS'!$AE$30:$AE$436,$AA270))</f>
        <v/>
      </c>
      <c r="H270" s="19" t="str">
        <f>IF($AA270=0,"",INDEX('13 - DATA &amp; LISTS'!$AF$30:$AF$436,$AA270))</f>
        <v/>
      </c>
      <c r="I270" s="18" t="str">
        <f>IF($AA270=0,"",INDEX('13 - DATA &amp; LISTS'!$AG$30:$AG$436,$AA270))</f>
        <v/>
      </c>
      <c r="J270" s="18" t="str">
        <f>IF($AA270=0,"",INDEX('13 - DATA &amp; LISTS'!$AH$30:$AH$436,$AA270))</f>
        <v/>
      </c>
      <c r="K270" s="18" t="str">
        <f>IF($AA270=0,"",INDEX('13 - DATA &amp; LISTS'!$AI$30:$AI$436,$AA270))</f>
        <v/>
      </c>
      <c r="AA270">
        <f>IF(COUNTIF('13 - DATA &amp; LISTS'!$AK$30:$AK$436,"&lt;999999999999")&lt;262,0,MATCH(SMALL('13 - DATA &amp; LISTS'!$AK$30:$AK$436,262),'13 - DATA &amp; LISTS'!$AK$30:$AK$436,0))</f>
        <v>0</v>
      </c>
    </row>
    <row r="271" spans="1:27" ht="63.95" customHeight="1">
      <c r="A271" s="18" t="str">
        <f>IF($AA271=0,"",INDEX('13 - DATA &amp; LISTS'!$Y$30:$Y$436,$AA271))</f>
        <v/>
      </c>
      <c r="B271" s="18" t="str">
        <f>IF($AA271=0,"",INDEX('13 - DATA &amp; LISTS'!$Z$30:$Z$436,$AA271))</f>
        <v/>
      </c>
      <c r="C271" s="18" t="str">
        <f>IF($AA271=0,"",INDEX('13 - DATA &amp; LISTS'!$AA$30:$AA$436,$AA271))</f>
        <v/>
      </c>
      <c r="D271" s="18" t="str">
        <f>IF($AA271=0,"",INDEX('13 - DATA &amp; LISTS'!$AB$30:$AB$436,$AA271))</f>
        <v/>
      </c>
      <c r="E271" s="18" t="str">
        <f>IF($AA271=0,"",INDEX('13 - DATA &amp; LISTS'!$AC$30:$AC$436,$AA271))</f>
        <v/>
      </c>
      <c r="F271" s="18" t="str">
        <f>IF($AA271=0,"",INDEX('13 - DATA &amp; LISTS'!$AD$30:$AD$436,$AA271))</f>
        <v/>
      </c>
      <c r="G271" s="18" t="str">
        <f>IF($AA271=0,"",INDEX('13 - DATA &amp; LISTS'!$AE$30:$AE$436,$AA271))</f>
        <v/>
      </c>
      <c r="H271" s="19" t="str">
        <f>IF($AA271=0,"",INDEX('13 - DATA &amp; LISTS'!$AF$30:$AF$436,$AA271))</f>
        <v/>
      </c>
      <c r="I271" s="18" t="str">
        <f>IF($AA271=0,"",INDEX('13 - DATA &amp; LISTS'!$AG$30:$AG$436,$AA271))</f>
        <v/>
      </c>
      <c r="J271" s="18" t="str">
        <f>IF($AA271=0,"",INDEX('13 - DATA &amp; LISTS'!$AH$30:$AH$436,$AA271))</f>
        <v/>
      </c>
      <c r="K271" s="18" t="str">
        <f>IF($AA271=0,"",INDEX('13 - DATA &amp; LISTS'!$AI$30:$AI$436,$AA271))</f>
        <v/>
      </c>
      <c r="AA271">
        <f>IF(COUNTIF('13 - DATA &amp; LISTS'!$AK$30:$AK$436,"&lt;999999999999")&lt;263,0,MATCH(SMALL('13 - DATA &amp; LISTS'!$AK$30:$AK$436,263),'13 - DATA &amp; LISTS'!$AK$30:$AK$436,0))</f>
        <v>0</v>
      </c>
    </row>
    <row r="272" spans="1:27" ht="63.95" customHeight="1">
      <c r="A272" s="18" t="str">
        <f>IF($AA272=0,"",INDEX('13 - DATA &amp; LISTS'!$Y$30:$Y$436,$AA272))</f>
        <v/>
      </c>
      <c r="B272" s="18" t="str">
        <f>IF($AA272=0,"",INDEX('13 - DATA &amp; LISTS'!$Z$30:$Z$436,$AA272))</f>
        <v/>
      </c>
      <c r="C272" s="18" t="str">
        <f>IF($AA272=0,"",INDEX('13 - DATA &amp; LISTS'!$AA$30:$AA$436,$AA272))</f>
        <v/>
      </c>
      <c r="D272" s="18" t="str">
        <f>IF($AA272=0,"",INDEX('13 - DATA &amp; LISTS'!$AB$30:$AB$436,$AA272))</f>
        <v/>
      </c>
      <c r="E272" s="18" t="str">
        <f>IF($AA272=0,"",INDEX('13 - DATA &amp; LISTS'!$AC$30:$AC$436,$AA272))</f>
        <v/>
      </c>
      <c r="F272" s="18" t="str">
        <f>IF($AA272=0,"",INDEX('13 - DATA &amp; LISTS'!$AD$30:$AD$436,$AA272))</f>
        <v/>
      </c>
      <c r="G272" s="18" t="str">
        <f>IF($AA272=0,"",INDEX('13 - DATA &amp; LISTS'!$AE$30:$AE$436,$AA272))</f>
        <v/>
      </c>
      <c r="H272" s="19" t="str">
        <f>IF($AA272=0,"",INDEX('13 - DATA &amp; LISTS'!$AF$30:$AF$436,$AA272))</f>
        <v/>
      </c>
      <c r="I272" s="18" t="str">
        <f>IF($AA272=0,"",INDEX('13 - DATA &amp; LISTS'!$AG$30:$AG$436,$AA272))</f>
        <v/>
      </c>
      <c r="J272" s="18" t="str">
        <f>IF($AA272=0,"",INDEX('13 - DATA &amp; LISTS'!$AH$30:$AH$436,$AA272))</f>
        <v/>
      </c>
      <c r="K272" s="18" t="str">
        <f>IF($AA272=0,"",INDEX('13 - DATA &amp; LISTS'!$AI$30:$AI$436,$AA272))</f>
        <v/>
      </c>
      <c r="AA272">
        <f>IF(COUNTIF('13 - DATA &amp; LISTS'!$AK$30:$AK$436,"&lt;999999999999")&lt;264,0,MATCH(SMALL('13 - DATA &amp; LISTS'!$AK$30:$AK$436,264),'13 - DATA &amp; LISTS'!$AK$30:$AK$436,0))</f>
        <v>0</v>
      </c>
    </row>
    <row r="273" spans="1:27" ht="63.95" customHeight="1">
      <c r="A273" s="18" t="str">
        <f>IF($AA273=0,"",INDEX('13 - DATA &amp; LISTS'!$Y$30:$Y$436,$AA273))</f>
        <v/>
      </c>
      <c r="B273" s="18" t="str">
        <f>IF($AA273=0,"",INDEX('13 - DATA &amp; LISTS'!$Z$30:$Z$436,$AA273))</f>
        <v/>
      </c>
      <c r="C273" s="18" t="str">
        <f>IF($AA273=0,"",INDEX('13 - DATA &amp; LISTS'!$AA$30:$AA$436,$AA273))</f>
        <v/>
      </c>
      <c r="D273" s="18" t="str">
        <f>IF($AA273=0,"",INDEX('13 - DATA &amp; LISTS'!$AB$30:$AB$436,$AA273))</f>
        <v/>
      </c>
      <c r="E273" s="18" t="str">
        <f>IF($AA273=0,"",INDEX('13 - DATA &amp; LISTS'!$AC$30:$AC$436,$AA273))</f>
        <v/>
      </c>
      <c r="F273" s="18" t="str">
        <f>IF($AA273=0,"",INDEX('13 - DATA &amp; LISTS'!$AD$30:$AD$436,$AA273))</f>
        <v/>
      </c>
      <c r="G273" s="18" t="str">
        <f>IF($AA273=0,"",INDEX('13 - DATA &amp; LISTS'!$AE$30:$AE$436,$AA273))</f>
        <v/>
      </c>
      <c r="H273" s="19" t="str">
        <f>IF($AA273=0,"",INDEX('13 - DATA &amp; LISTS'!$AF$30:$AF$436,$AA273))</f>
        <v/>
      </c>
      <c r="I273" s="18" t="str">
        <f>IF($AA273=0,"",INDEX('13 - DATA &amp; LISTS'!$AG$30:$AG$436,$AA273))</f>
        <v/>
      </c>
      <c r="J273" s="18" t="str">
        <f>IF($AA273=0,"",INDEX('13 - DATA &amp; LISTS'!$AH$30:$AH$436,$AA273))</f>
        <v/>
      </c>
      <c r="K273" s="18" t="str">
        <f>IF($AA273=0,"",INDEX('13 - DATA &amp; LISTS'!$AI$30:$AI$436,$AA273))</f>
        <v/>
      </c>
      <c r="AA273">
        <f>IF(COUNTIF('13 - DATA &amp; LISTS'!$AK$30:$AK$436,"&lt;999999999999")&lt;265,0,MATCH(SMALL('13 - DATA &amp; LISTS'!$AK$30:$AK$436,265),'13 - DATA &amp; LISTS'!$AK$30:$AK$436,0))</f>
        <v>0</v>
      </c>
    </row>
    <row r="274" spans="1:27" ht="63.95" customHeight="1">
      <c r="A274" s="18" t="str">
        <f>IF($AA274=0,"",INDEX('13 - DATA &amp; LISTS'!$Y$30:$Y$436,$AA274))</f>
        <v/>
      </c>
      <c r="B274" s="18" t="str">
        <f>IF($AA274=0,"",INDEX('13 - DATA &amp; LISTS'!$Z$30:$Z$436,$AA274))</f>
        <v/>
      </c>
      <c r="C274" s="18" t="str">
        <f>IF($AA274=0,"",INDEX('13 - DATA &amp; LISTS'!$AA$30:$AA$436,$AA274))</f>
        <v/>
      </c>
      <c r="D274" s="18" t="str">
        <f>IF($AA274=0,"",INDEX('13 - DATA &amp; LISTS'!$AB$30:$AB$436,$AA274))</f>
        <v/>
      </c>
      <c r="E274" s="18" t="str">
        <f>IF($AA274=0,"",INDEX('13 - DATA &amp; LISTS'!$AC$30:$AC$436,$AA274))</f>
        <v/>
      </c>
      <c r="F274" s="18" t="str">
        <f>IF($AA274=0,"",INDEX('13 - DATA &amp; LISTS'!$AD$30:$AD$436,$AA274))</f>
        <v/>
      </c>
      <c r="G274" s="18" t="str">
        <f>IF($AA274=0,"",INDEX('13 - DATA &amp; LISTS'!$AE$30:$AE$436,$AA274))</f>
        <v/>
      </c>
      <c r="H274" s="19" t="str">
        <f>IF($AA274=0,"",INDEX('13 - DATA &amp; LISTS'!$AF$30:$AF$436,$AA274))</f>
        <v/>
      </c>
      <c r="I274" s="18" t="str">
        <f>IF($AA274=0,"",INDEX('13 - DATA &amp; LISTS'!$AG$30:$AG$436,$AA274))</f>
        <v/>
      </c>
      <c r="J274" s="18" t="str">
        <f>IF($AA274=0,"",INDEX('13 - DATA &amp; LISTS'!$AH$30:$AH$436,$AA274))</f>
        <v/>
      </c>
      <c r="K274" s="18" t="str">
        <f>IF($AA274=0,"",INDEX('13 - DATA &amp; LISTS'!$AI$30:$AI$436,$AA274))</f>
        <v/>
      </c>
      <c r="AA274">
        <f>IF(COUNTIF('13 - DATA &amp; LISTS'!$AK$30:$AK$436,"&lt;999999999999")&lt;266,0,MATCH(SMALL('13 - DATA &amp; LISTS'!$AK$30:$AK$436,266),'13 - DATA &amp; LISTS'!$AK$30:$AK$436,0))</f>
        <v>0</v>
      </c>
    </row>
    <row r="275" spans="1:27" ht="63.95" customHeight="1">
      <c r="A275" s="18" t="str">
        <f>IF($AA275=0,"",INDEX('13 - DATA &amp; LISTS'!$Y$30:$Y$436,$AA275))</f>
        <v/>
      </c>
      <c r="B275" s="18" t="str">
        <f>IF($AA275=0,"",INDEX('13 - DATA &amp; LISTS'!$Z$30:$Z$436,$AA275))</f>
        <v/>
      </c>
      <c r="C275" s="18" t="str">
        <f>IF($AA275=0,"",INDEX('13 - DATA &amp; LISTS'!$AA$30:$AA$436,$AA275))</f>
        <v/>
      </c>
      <c r="D275" s="18" t="str">
        <f>IF($AA275=0,"",INDEX('13 - DATA &amp; LISTS'!$AB$30:$AB$436,$AA275))</f>
        <v/>
      </c>
      <c r="E275" s="18" t="str">
        <f>IF($AA275=0,"",INDEX('13 - DATA &amp; LISTS'!$AC$30:$AC$436,$AA275))</f>
        <v/>
      </c>
      <c r="F275" s="18" t="str">
        <f>IF($AA275=0,"",INDEX('13 - DATA &amp; LISTS'!$AD$30:$AD$436,$AA275))</f>
        <v/>
      </c>
      <c r="G275" s="18" t="str">
        <f>IF($AA275=0,"",INDEX('13 - DATA &amp; LISTS'!$AE$30:$AE$436,$AA275))</f>
        <v/>
      </c>
      <c r="H275" s="19" t="str">
        <f>IF($AA275=0,"",INDEX('13 - DATA &amp; LISTS'!$AF$30:$AF$436,$AA275))</f>
        <v/>
      </c>
      <c r="I275" s="18" t="str">
        <f>IF($AA275=0,"",INDEX('13 - DATA &amp; LISTS'!$AG$30:$AG$436,$AA275))</f>
        <v/>
      </c>
      <c r="J275" s="18" t="str">
        <f>IF($AA275=0,"",INDEX('13 - DATA &amp; LISTS'!$AH$30:$AH$436,$AA275))</f>
        <v/>
      </c>
      <c r="K275" s="18" t="str">
        <f>IF($AA275=0,"",INDEX('13 - DATA &amp; LISTS'!$AI$30:$AI$436,$AA275))</f>
        <v/>
      </c>
      <c r="AA275">
        <f>IF(COUNTIF('13 - DATA &amp; LISTS'!$AK$30:$AK$436,"&lt;999999999999")&lt;267,0,MATCH(SMALL('13 - DATA &amp; LISTS'!$AK$30:$AK$436,267),'13 - DATA &amp; LISTS'!$AK$30:$AK$436,0))</f>
        <v>0</v>
      </c>
    </row>
    <row r="276" spans="1:27" ht="63.95" customHeight="1">
      <c r="A276" s="18" t="str">
        <f>IF($AA276=0,"",INDEX('13 - DATA &amp; LISTS'!$Y$30:$Y$436,$AA276))</f>
        <v/>
      </c>
      <c r="B276" s="18" t="str">
        <f>IF($AA276=0,"",INDEX('13 - DATA &amp; LISTS'!$Z$30:$Z$436,$AA276))</f>
        <v/>
      </c>
      <c r="C276" s="18" t="str">
        <f>IF($AA276=0,"",INDEX('13 - DATA &amp; LISTS'!$AA$30:$AA$436,$AA276))</f>
        <v/>
      </c>
      <c r="D276" s="18" t="str">
        <f>IF($AA276=0,"",INDEX('13 - DATA &amp; LISTS'!$AB$30:$AB$436,$AA276))</f>
        <v/>
      </c>
      <c r="E276" s="18" t="str">
        <f>IF($AA276=0,"",INDEX('13 - DATA &amp; LISTS'!$AC$30:$AC$436,$AA276))</f>
        <v/>
      </c>
      <c r="F276" s="18" t="str">
        <f>IF($AA276=0,"",INDEX('13 - DATA &amp; LISTS'!$AD$30:$AD$436,$AA276))</f>
        <v/>
      </c>
      <c r="G276" s="18" t="str">
        <f>IF($AA276=0,"",INDEX('13 - DATA &amp; LISTS'!$AE$30:$AE$436,$AA276))</f>
        <v/>
      </c>
      <c r="H276" s="19" t="str">
        <f>IF($AA276=0,"",INDEX('13 - DATA &amp; LISTS'!$AF$30:$AF$436,$AA276))</f>
        <v/>
      </c>
      <c r="I276" s="18" t="str">
        <f>IF($AA276=0,"",INDEX('13 - DATA &amp; LISTS'!$AG$30:$AG$436,$AA276))</f>
        <v/>
      </c>
      <c r="J276" s="18" t="str">
        <f>IF($AA276=0,"",INDEX('13 - DATA &amp; LISTS'!$AH$30:$AH$436,$AA276))</f>
        <v/>
      </c>
      <c r="K276" s="18" t="str">
        <f>IF($AA276=0,"",INDEX('13 - DATA &amp; LISTS'!$AI$30:$AI$436,$AA276))</f>
        <v/>
      </c>
      <c r="AA276">
        <f>IF(COUNTIF('13 - DATA &amp; LISTS'!$AK$30:$AK$436,"&lt;999999999999")&lt;268,0,MATCH(SMALL('13 - DATA &amp; LISTS'!$AK$30:$AK$436,268),'13 - DATA &amp; LISTS'!$AK$30:$AK$436,0))</f>
        <v>0</v>
      </c>
    </row>
    <row r="277" spans="1:27" ht="63.95" customHeight="1">
      <c r="A277" s="18" t="str">
        <f>IF($AA277=0,"",INDEX('13 - DATA &amp; LISTS'!$Y$30:$Y$436,$AA277))</f>
        <v/>
      </c>
      <c r="B277" s="18" t="str">
        <f>IF($AA277=0,"",INDEX('13 - DATA &amp; LISTS'!$Z$30:$Z$436,$AA277))</f>
        <v/>
      </c>
      <c r="C277" s="18" t="str">
        <f>IF($AA277=0,"",INDEX('13 - DATA &amp; LISTS'!$AA$30:$AA$436,$AA277))</f>
        <v/>
      </c>
      <c r="D277" s="18" t="str">
        <f>IF($AA277=0,"",INDEX('13 - DATA &amp; LISTS'!$AB$30:$AB$436,$AA277))</f>
        <v/>
      </c>
      <c r="E277" s="18" t="str">
        <f>IF($AA277=0,"",INDEX('13 - DATA &amp; LISTS'!$AC$30:$AC$436,$AA277))</f>
        <v/>
      </c>
      <c r="F277" s="18" t="str">
        <f>IF($AA277=0,"",INDEX('13 - DATA &amp; LISTS'!$AD$30:$AD$436,$AA277))</f>
        <v/>
      </c>
      <c r="G277" s="18" t="str">
        <f>IF($AA277=0,"",INDEX('13 - DATA &amp; LISTS'!$AE$30:$AE$436,$AA277))</f>
        <v/>
      </c>
      <c r="H277" s="19" t="str">
        <f>IF($AA277=0,"",INDEX('13 - DATA &amp; LISTS'!$AF$30:$AF$436,$AA277))</f>
        <v/>
      </c>
      <c r="I277" s="18" t="str">
        <f>IF($AA277=0,"",INDEX('13 - DATA &amp; LISTS'!$AG$30:$AG$436,$AA277))</f>
        <v/>
      </c>
      <c r="J277" s="18" t="str">
        <f>IF($AA277=0,"",INDEX('13 - DATA &amp; LISTS'!$AH$30:$AH$436,$AA277))</f>
        <v/>
      </c>
      <c r="K277" s="18" t="str">
        <f>IF($AA277=0,"",INDEX('13 - DATA &amp; LISTS'!$AI$30:$AI$436,$AA277))</f>
        <v/>
      </c>
      <c r="AA277">
        <f>IF(COUNTIF('13 - DATA &amp; LISTS'!$AK$30:$AK$436,"&lt;999999999999")&lt;269,0,MATCH(SMALL('13 - DATA &amp; LISTS'!$AK$30:$AK$436,269),'13 - DATA &amp; LISTS'!$AK$30:$AK$436,0))</f>
        <v>0</v>
      </c>
    </row>
    <row r="278" spans="1:27" ht="63.95" customHeight="1">
      <c r="A278" s="18" t="str">
        <f>IF($AA278=0,"",INDEX('13 - DATA &amp; LISTS'!$Y$30:$Y$436,$AA278))</f>
        <v/>
      </c>
      <c r="B278" s="18" t="str">
        <f>IF($AA278=0,"",INDEX('13 - DATA &amp; LISTS'!$Z$30:$Z$436,$AA278))</f>
        <v/>
      </c>
      <c r="C278" s="18" t="str">
        <f>IF($AA278=0,"",INDEX('13 - DATA &amp; LISTS'!$AA$30:$AA$436,$AA278))</f>
        <v/>
      </c>
      <c r="D278" s="18" t="str">
        <f>IF($AA278=0,"",INDEX('13 - DATA &amp; LISTS'!$AB$30:$AB$436,$AA278))</f>
        <v/>
      </c>
      <c r="E278" s="18" t="str">
        <f>IF($AA278=0,"",INDEX('13 - DATA &amp; LISTS'!$AC$30:$AC$436,$AA278))</f>
        <v/>
      </c>
      <c r="F278" s="18" t="str">
        <f>IF($AA278=0,"",INDEX('13 - DATA &amp; LISTS'!$AD$30:$AD$436,$AA278))</f>
        <v/>
      </c>
      <c r="G278" s="18" t="str">
        <f>IF($AA278=0,"",INDEX('13 - DATA &amp; LISTS'!$AE$30:$AE$436,$AA278))</f>
        <v/>
      </c>
      <c r="H278" s="19" t="str">
        <f>IF($AA278=0,"",INDEX('13 - DATA &amp; LISTS'!$AF$30:$AF$436,$AA278))</f>
        <v/>
      </c>
      <c r="I278" s="18" t="str">
        <f>IF($AA278=0,"",INDEX('13 - DATA &amp; LISTS'!$AG$30:$AG$436,$AA278))</f>
        <v/>
      </c>
      <c r="J278" s="18" t="str">
        <f>IF($AA278=0,"",INDEX('13 - DATA &amp; LISTS'!$AH$30:$AH$436,$AA278))</f>
        <v/>
      </c>
      <c r="K278" s="18" t="str">
        <f>IF($AA278=0,"",INDEX('13 - DATA &amp; LISTS'!$AI$30:$AI$436,$AA278))</f>
        <v/>
      </c>
      <c r="AA278">
        <f>IF(COUNTIF('13 - DATA &amp; LISTS'!$AK$30:$AK$436,"&lt;999999999999")&lt;270,0,MATCH(SMALL('13 - DATA &amp; LISTS'!$AK$30:$AK$436,270),'13 - DATA &amp; LISTS'!$AK$30:$AK$436,0))</f>
        <v>0</v>
      </c>
    </row>
    <row r="279" spans="1:27" ht="63.95" customHeight="1">
      <c r="A279" s="18" t="str">
        <f>IF($AA279=0,"",INDEX('13 - DATA &amp; LISTS'!$Y$30:$Y$436,$AA279))</f>
        <v/>
      </c>
      <c r="B279" s="18" t="str">
        <f>IF($AA279=0,"",INDEX('13 - DATA &amp; LISTS'!$Z$30:$Z$436,$AA279))</f>
        <v/>
      </c>
      <c r="C279" s="18" t="str">
        <f>IF($AA279=0,"",INDEX('13 - DATA &amp; LISTS'!$AA$30:$AA$436,$AA279))</f>
        <v/>
      </c>
      <c r="D279" s="18" t="str">
        <f>IF($AA279=0,"",INDEX('13 - DATA &amp; LISTS'!$AB$30:$AB$436,$AA279))</f>
        <v/>
      </c>
      <c r="E279" s="18" t="str">
        <f>IF($AA279=0,"",INDEX('13 - DATA &amp; LISTS'!$AC$30:$AC$436,$AA279))</f>
        <v/>
      </c>
      <c r="F279" s="18" t="str">
        <f>IF($AA279=0,"",INDEX('13 - DATA &amp; LISTS'!$AD$30:$AD$436,$AA279))</f>
        <v/>
      </c>
      <c r="G279" s="18" t="str">
        <f>IF($AA279=0,"",INDEX('13 - DATA &amp; LISTS'!$AE$30:$AE$436,$AA279))</f>
        <v/>
      </c>
      <c r="H279" s="19" t="str">
        <f>IF($AA279=0,"",INDEX('13 - DATA &amp; LISTS'!$AF$30:$AF$436,$AA279))</f>
        <v/>
      </c>
      <c r="I279" s="18" t="str">
        <f>IF($AA279=0,"",INDEX('13 - DATA &amp; LISTS'!$AG$30:$AG$436,$AA279))</f>
        <v/>
      </c>
      <c r="J279" s="18" t="str">
        <f>IF($AA279=0,"",INDEX('13 - DATA &amp; LISTS'!$AH$30:$AH$436,$AA279))</f>
        <v/>
      </c>
      <c r="K279" s="18" t="str">
        <f>IF($AA279=0,"",INDEX('13 - DATA &amp; LISTS'!$AI$30:$AI$436,$AA279))</f>
        <v/>
      </c>
      <c r="AA279">
        <f>IF(COUNTIF('13 - DATA &amp; LISTS'!$AK$30:$AK$436,"&lt;999999999999")&lt;271,0,MATCH(SMALL('13 - DATA &amp; LISTS'!$AK$30:$AK$436,271),'13 - DATA &amp; LISTS'!$AK$30:$AK$436,0))</f>
        <v>0</v>
      </c>
    </row>
    <row r="280" spans="1:27" ht="63.95" customHeight="1">
      <c r="A280" s="18" t="str">
        <f>IF($AA280=0,"",INDEX('13 - DATA &amp; LISTS'!$Y$30:$Y$436,$AA280))</f>
        <v/>
      </c>
      <c r="B280" s="18" t="str">
        <f>IF($AA280=0,"",INDEX('13 - DATA &amp; LISTS'!$Z$30:$Z$436,$AA280))</f>
        <v/>
      </c>
      <c r="C280" s="18" t="str">
        <f>IF($AA280=0,"",INDEX('13 - DATA &amp; LISTS'!$AA$30:$AA$436,$AA280))</f>
        <v/>
      </c>
      <c r="D280" s="18" t="str">
        <f>IF($AA280=0,"",INDEX('13 - DATA &amp; LISTS'!$AB$30:$AB$436,$AA280))</f>
        <v/>
      </c>
      <c r="E280" s="18" t="str">
        <f>IF($AA280=0,"",INDEX('13 - DATA &amp; LISTS'!$AC$30:$AC$436,$AA280))</f>
        <v/>
      </c>
      <c r="F280" s="18" t="str">
        <f>IF($AA280=0,"",INDEX('13 - DATA &amp; LISTS'!$AD$30:$AD$436,$AA280))</f>
        <v/>
      </c>
      <c r="G280" s="18" t="str">
        <f>IF($AA280=0,"",INDEX('13 - DATA &amp; LISTS'!$AE$30:$AE$436,$AA280))</f>
        <v/>
      </c>
      <c r="H280" s="19" t="str">
        <f>IF($AA280=0,"",INDEX('13 - DATA &amp; LISTS'!$AF$30:$AF$436,$AA280))</f>
        <v/>
      </c>
      <c r="I280" s="18" t="str">
        <f>IF($AA280=0,"",INDEX('13 - DATA &amp; LISTS'!$AG$30:$AG$436,$AA280))</f>
        <v/>
      </c>
      <c r="J280" s="18" t="str">
        <f>IF($AA280=0,"",INDEX('13 - DATA &amp; LISTS'!$AH$30:$AH$436,$AA280))</f>
        <v/>
      </c>
      <c r="K280" s="18" t="str">
        <f>IF($AA280=0,"",INDEX('13 - DATA &amp; LISTS'!$AI$30:$AI$436,$AA280))</f>
        <v/>
      </c>
      <c r="AA280">
        <f>IF(COUNTIF('13 - DATA &amp; LISTS'!$AK$30:$AK$436,"&lt;999999999999")&lt;272,0,MATCH(SMALL('13 - DATA &amp; LISTS'!$AK$30:$AK$436,272),'13 - DATA &amp; LISTS'!$AK$30:$AK$436,0))</f>
        <v>0</v>
      </c>
    </row>
    <row r="281" spans="1:27" ht="63.95" customHeight="1">
      <c r="A281" s="18" t="str">
        <f>IF($AA281=0,"",INDEX('13 - DATA &amp; LISTS'!$Y$30:$Y$436,$AA281))</f>
        <v/>
      </c>
      <c r="B281" s="18" t="str">
        <f>IF($AA281=0,"",INDEX('13 - DATA &amp; LISTS'!$Z$30:$Z$436,$AA281))</f>
        <v/>
      </c>
      <c r="C281" s="18" t="str">
        <f>IF($AA281=0,"",INDEX('13 - DATA &amp; LISTS'!$AA$30:$AA$436,$AA281))</f>
        <v/>
      </c>
      <c r="D281" s="18" t="str">
        <f>IF($AA281=0,"",INDEX('13 - DATA &amp; LISTS'!$AB$30:$AB$436,$AA281))</f>
        <v/>
      </c>
      <c r="E281" s="18" t="str">
        <f>IF($AA281=0,"",INDEX('13 - DATA &amp; LISTS'!$AC$30:$AC$436,$AA281))</f>
        <v/>
      </c>
      <c r="F281" s="18" t="str">
        <f>IF($AA281=0,"",INDEX('13 - DATA &amp; LISTS'!$AD$30:$AD$436,$AA281))</f>
        <v/>
      </c>
      <c r="G281" s="18" t="str">
        <f>IF($AA281=0,"",INDEX('13 - DATA &amp; LISTS'!$AE$30:$AE$436,$AA281))</f>
        <v/>
      </c>
      <c r="H281" s="19" t="str">
        <f>IF($AA281=0,"",INDEX('13 - DATA &amp; LISTS'!$AF$30:$AF$436,$AA281))</f>
        <v/>
      </c>
      <c r="I281" s="18" t="str">
        <f>IF($AA281=0,"",INDEX('13 - DATA &amp; LISTS'!$AG$30:$AG$436,$AA281))</f>
        <v/>
      </c>
      <c r="J281" s="18" t="str">
        <f>IF($AA281=0,"",INDEX('13 - DATA &amp; LISTS'!$AH$30:$AH$436,$AA281))</f>
        <v/>
      </c>
      <c r="K281" s="18" t="str">
        <f>IF($AA281=0,"",INDEX('13 - DATA &amp; LISTS'!$AI$30:$AI$436,$AA281))</f>
        <v/>
      </c>
      <c r="AA281">
        <f>IF(COUNTIF('13 - DATA &amp; LISTS'!$AK$30:$AK$436,"&lt;999999999999")&lt;273,0,MATCH(SMALL('13 - DATA &amp; LISTS'!$AK$30:$AK$436,273),'13 - DATA &amp; LISTS'!$AK$30:$AK$436,0))</f>
        <v>0</v>
      </c>
    </row>
    <row r="282" spans="1:27" ht="63.95" customHeight="1">
      <c r="A282" s="18" t="str">
        <f>IF($AA282=0,"",INDEX('13 - DATA &amp; LISTS'!$Y$30:$Y$436,$AA282))</f>
        <v/>
      </c>
      <c r="B282" s="18" t="str">
        <f>IF($AA282=0,"",INDEX('13 - DATA &amp; LISTS'!$Z$30:$Z$436,$AA282))</f>
        <v/>
      </c>
      <c r="C282" s="18" t="str">
        <f>IF($AA282=0,"",INDEX('13 - DATA &amp; LISTS'!$AA$30:$AA$436,$AA282))</f>
        <v/>
      </c>
      <c r="D282" s="18" t="str">
        <f>IF($AA282=0,"",INDEX('13 - DATA &amp; LISTS'!$AB$30:$AB$436,$AA282))</f>
        <v/>
      </c>
      <c r="E282" s="18" t="str">
        <f>IF($AA282=0,"",INDEX('13 - DATA &amp; LISTS'!$AC$30:$AC$436,$AA282))</f>
        <v/>
      </c>
      <c r="F282" s="18" t="str">
        <f>IF($AA282=0,"",INDEX('13 - DATA &amp; LISTS'!$AD$30:$AD$436,$AA282))</f>
        <v/>
      </c>
      <c r="G282" s="18" t="str">
        <f>IF($AA282=0,"",INDEX('13 - DATA &amp; LISTS'!$AE$30:$AE$436,$AA282))</f>
        <v/>
      </c>
      <c r="H282" s="19" t="str">
        <f>IF($AA282=0,"",INDEX('13 - DATA &amp; LISTS'!$AF$30:$AF$436,$AA282))</f>
        <v/>
      </c>
      <c r="I282" s="18" t="str">
        <f>IF($AA282=0,"",INDEX('13 - DATA &amp; LISTS'!$AG$30:$AG$436,$AA282))</f>
        <v/>
      </c>
      <c r="J282" s="18" t="str">
        <f>IF($AA282=0,"",INDEX('13 - DATA &amp; LISTS'!$AH$30:$AH$436,$AA282))</f>
        <v/>
      </c>
      <c r="K282" s="18" t="str">
        <f>IF($AA282=0,"",INDEX('13 - DATA &amp; LISTS'!$AI$30:$AI$436,$AA282))</f>
        <v/>
      </c>
      <c r="AA282">
        <f>IF(COUNTIF('13 - DATA &amp; LISTS'!$AK$30:$AK$436,"&lt;999999999999")&lt;274,0,MATCH(SMALL('13 - DATA &amp; LISTS'!$AK$30:$AK$436,274),'13 - DATA &amp; LISTS'!$AK$30:$AK$436,0))</f>
        <v>0</v>
      </c>
    </row>
    <row r="283" spans="1:27" ht="63.95" customHeight="1">
      <c r="A283" s="18" t="str">
        <f>IF($AA283=0,"",INDEX('13 - DATA &amp; LISTS'!$Y$30:$Y$436,$AA283))</f>
        <v/>
      </c>
      <c r="B283" s="18" t="str">
        <f>IF($AA283=0,"",INDEX('13 - DATA &amp; LISTS'!$Z$30:$Z$436,$AA283))</f>
        <v/>
      </c>
      <c r="C283" s="18" t="str">
        <f>IF($AA283=0,"",INDEX('13 - DATA &amp; LISTS'!$AA$30:$AA$436,$AA283))</f>
        <v/>
      </c>
      <c r="D283" s="18" t="str">
        <f>IF($AA283=0,"",INDEX('13 - DATA &amp; LISTS'!$AB$30:$AB$436,$AA283))</f>
        <v/>
      </c>
      <c r="E283" s="18" t="str">
        <f>IF($AA283=0,"",INDEX('13 - DATA &amp; LISTS'!$AC$30:$AC$436,$AA283))</f>
        <v/>
      </c>
      <c r="F283" s="18" t="str">
        <f>IF($AA283=0,"",INDEX('13 - DATA &amp; LISTS'!$AD$30:$AD$436,$AA283))</f>
        <v/>
      </c>
      <c r="G283" s="18" t="str">
        <f>IF($AA283=0,"",INDEX('13 - DATA &amp; LISTS'!$AE$30:$AE$436,$AA283))</f>
        <v/>
      </c>
      <c r="H283" s="19" t="str">
        <f>IF($AA283=0,"",INDEX('13 - DATA &amp; LISTS'!$AF$30:$AF$436,$AA283))</f>
        <v/>
      </c>
      <c r="I283" s="18" t="str">
        <f>IF($AA283=0,"",INDEX('13 - DATA &amp; LISTS'!$AG$30:$AG$436,$AA283))</f>
        <v/>
      </c>
      <c r="J283" s="18" t="str">
        <f>IF($AA283=0,"",INDEX('13 - DATA &amp; LISTS'!$AH$30:$AH$436,$AA283))</f>
        <v/>
      </c>
      <c r="K283" s="18" t="str">
        <f>IF($AA283=0,"",INDEX('13 - DATA &amp; LISTS'!$AI$30:$AI$436,$AA283))</f>
        <v/>
      </c>
      <c r="AA283">
        <f>IF(COUNTIF('13 - DATA &amp; LISTS'!$AK$30:$AK$436,"&lt;999999999999")&lt;275,0,MATCH(SMALL('13 - DATA &amp; LISTS'!$AK$30:$AK$436,275),'13 - DATA &amp; LISTS'!$AK$30:$AK$436,0))</f>
        <v>0</v>
      </c>
    </row>
    <row r="284" spans="1:27" ht="63.95" customHeight="1">
      <c r="A284" s="18" t="str">
        <f>IF($AA284=0,"",INDEX('13 - DATA &amp; LISTS'!$Y$30:$Y$436,$AA284))</f>
        <v/>
      </c>
      <c r="B284" s="18" t="str">
        <f>IF($AA284=0,"",INDEX('13 - DATA &amp; LISTS'!$Z$30:$Z$436,$AA284))</f>
        <v/>
      </c>
      <c r="C284" s="18" t="str">
        <f>IF($AA284=0,"",INDEX('13 - DATA &amp; LISTS'!$AA$30:$AA$436,$AA284))</f>
        <v/>
      </c>
      <c r="D284" s="18" t="str">
        <f>IF($AA284=0,"",INDEX('13 - DATA &amp; LISTS'!$AB$30:$AB$436,$AA284))</f>
        <v/>
      </c>
      <c r="E284" s="18" t="str">
        <f>IF($AA284=0,"",INDEX('13 - DATA &amp; LISTS'!$AC$30:$AC$436,$AA284))</f>
        <v/>
      </c>
      <c r="F284" s="18" t="str">
        <f>IF($AA284=0,"",INDEX('13 - DATA &amp; LISTS'!$AD$30:$AD$436,$AA284))</f>
        <v/>
      </c>
      <c r="G284" s="18" t="str">
        <f>IF($AA284=0,"",INDEX('13 - DATA &amp; LISTS'!$AE$30:$AE$436,$AA284))</f>
        <v/>
      </c>
      <c r="H284" s="19" t="str">
        <f>IF($AA284=0,"",INDEX('13 - DATA &amp; LISTS'!$AF$30:$AF$436,$AA284))</f>
        <v/>
      </c>
      <c r="I284" s="18" t="str">
        <f>IF($AA284=0,"",INDEX('13 - DATA &amp; LISTS'!$AG$30:$AG$436,$AA284))</f>
        <v/>
      </c>
      <c r="J284" s="18" t="str">
        <f>IF($AA284=0,"",INDEX('13 - DATA &amp; LISTS'!$AH$30:$AH$436,$AA284))</f>
        <v/>
      </c>
      <c r="K284" s="18" t="str">
        <f>IF($AA284=0,"",INDEX('13 - DATA &amp; LISTS'!$AI$30:$AI$436,$AA284))</f>
        <v/>
      </c>
      <c r="AA284">
        <f>IF(COUNTIF('13 - DATA &amp; LISTS'!$AK$30:$AK$436,"&lt;999999999999")&lt;276,0,MATCH(SMALL('13 - DATA &amp; LISTS'!$AK$30:$AK$436,276),'13 - DATA &amp; LISTS'!$AK$30:$AK$436,0))</f>
        <v>0</v>
      </c>
    </row>
    <row r="285" spans="1:27" ht="63.95" customHeight="1">
      <c r="A285" s="18" t="str">
        <f>IF($AA285=0,"",INDEX('13 - DATA &amp; LISTS'!$Y$30:$Y$436,$AA285))</f>
        <v/>
      </c>
      <c r="B285" s="18" t="str">
        <f>IF($AA285=0,"",INDEX('13 - DATA &amp; LISTS'!$Z$30:$Z$436,$AA285))</f>
        <v/>
      </c>
      <c r="C285" s="18" t="str">
        <f>IF($AA285=0,"",INDEX('13 - DATA &amp; LISTS'!$AA$30:$AA$436,$AA285))</f>
        <v/>
      </c>
      <c r="D285" s="18" t="str">
        <f>IF($AA285=0,"",INDEX('13 - DATA &amp; LISTS'!$AB$30:$AB$436,$AA285))</f>
        <v/>
      </c>
      <c r="E285" s="18" t="str">
        <f>IF($AA285=0,"",INDEX('13 - DATA &amp; LISTS'!$AC$30:$AC$436,$AA285))</f>
        <v/>
      </c>
      <c r="F285" s="18" t="str">
        <f>IF($AA285=0,"",INDEX('13 - DATA &amp; LISTS'!$AD$30:$AD$436,$AA285))</f>
        <v/>
      </c>
      <c r="G285" s="18" t="str">
        <f>IF($AA285=0,"",INDEX('13 - DATA &amp; LISTS'!$AE$30:$AE$436,$AA285))</f>
        <v/>
      </c>
      <c r="H285" s="19" t="str">
        <f>IF($AA285=0,"",INDEX('13 - DATA &amp; LISTS'!$AF$30:$AF$436,$AA285))</f>
        <v/>
      </c>
      <c r="I285" s="18" t="str">
        <f>IF($AA285=0,"",INDEX('13 - DATA &amp; LISTS'!$AG$30:$AG$436,$AA285))</f>
        <v/>
      </c>
      <c r="J285" s="18" t="str">
        <f>IF($AA285=0,"",INDEX('13 - DATA &amp; LISTS'!$AH$30:$AH$436,$AA285))</f>
        <v/>
      </c>
      <c r="K285" s="18" t="str">
        <f>IF($AA285=0,"",INDEX('13 - DATA &amp; LISTS'!$AI$30:$AI$436,$AA285))</f>
        <v/>
      </c>
      <c r="AA285">
        <f>IF(COUNTIF('13 - DATA &amp; LISTS'!$AK$30:$AK$436,"&lt;999999999999")&lt;277,0,MATCH(SMALL('13 - DATA &amp; LISTS'!$AK$30:$AK$436,277),'13 - DATA &amp; LISTS'!$AK$30:$AK$436,0))</f>
        <v>0</v>
      </c>
    </row>
    <row r="286" spans="1:27" ht="63.95" customHeight="1">
      <c r="A286" s="18" t="str">
        <f>IF($AA286=0,"",INDEX('13 - DATA &amp; LISTS'!$Y$30:$Y$436,$AA286))</f>
        <v/>
      </c>
      <c r="B286" s="18" t="str">
        <f>IF($AA286=0,"",INDEX('13 - DATA &amp; LISTS'!$Z$30:$Z$436,$AA286))</f>
        <v/>
      </c>
      <c r="C286" s="18" t="str">
        <f>IF($AA286=0,"",INDEX('13 - DATA &amp; LISTS'!$AA$30:$AA$436,$AA286))</f>
        <v/>
      </c>
      <c r="D286" s="18" t="str">
        <f>IF($AA286=0,"",INDEX('13 - DATA &amp; LISTS'!$AB$30:$AB$436,$AA286))</f>
        <v/>
      </c>
      <c r="E286" s="18" t="str">
        <f>IF($AA286=0,"",INDEX('13 - DATA &amp; LISTS'!$AC$30:$AC$436,$AA286))</f>
        <v/>
      </c>
      <c r="F286" s="18" t="str">
        <f>IF($AA286=0,"",INDEX('13 - DATA &amp; LISTS'!$AD$30:$AD$436,$AA286))</f>
        <v/>
      </c>
      <c r="G286" s="18" t="str">
        <f>IF($AA286=0,"",INDEX('13 - DATA &amp; LISTS'!$AE$30:$AE$436,$AA286))</f>
        <v/>
      </c>
      <c r="H286" s="19" t="str">
        <f>IF($AA286=0,"",INDEX('13 - DATA &amp; LISTS'!$AF$30:$AF$436,$AA286))</f>
        <v/>
      </c>
      <c r="I286" s="18" t="str">
        <f>IF($AA286=0,"",INDEX('13 - DATA &amp; LISTS'!$AG$30:$AG$436,$AA286))</f>
        <v/>
      </c>
      <c r="J286" s="18" t="str">
        <f>IF($AA286=0,"",INDEX('13 - DATA &amp; LISTS'!$AH$30:$AH$436,$AA286))</f>
        <v/>
      </c>
      <c r="K286" s="18" t="str">
        <f>IF($AA286=0,"",INDEX('13 - DATA &amp; LISTS'!$AI$30:$AI$436,$AA286))</f>
        <v/>
      </c>
      <c r="AA286">
        <f>IF(COUNTIF('13 - DATA &amp; LISTS'!$AK$30:$AK$436,"&lt;999999999999")&lt;278,0,MATCH(SMALL('13 - DATA &amp; LISTS'!$AK$30:$AK$436,278),'13 - DATA &amp; LISTS'!$AK$30:$AK$436,0))</f>
        <v>0</v>
      </c>
    </row>
    <row r="287" spans="1:27" ht="63.95" customHeight="1">
      <c r="A287" s="18" t="str">
        <f>IF($AA287=0,"",INDEX('13 - DATA &amp; LISTS'!$Y$30:$Y$436,$AA287))</f>
        <v/>
      </c>
      <c r="B287" s="18" t="str">
        <f>IF($AA287=0,"",INDEX('13 - DATA &amp; LISTS'!$Z$30:$Z$436,$AA287))</f>
        <v/>
      </c>
      <c r="C287" s="18" t="str">
        <f>IF($AA287=0,"",INDEX('13 - DATA &amp; LISTS'!$AA$30:$AA$436,$AA287))</f>
        <v/>
      </c>
      <c r="D287" s="18" t="str">
        <f>IF($AA287=0,"",INDEX('13 - DATA &amp; LISTS'!$AB$30:$AB$436,$AA287))</f>
        <v/>
      </c>
      <c r="E287" s="18" t="str">
        <f>IF($AA287=0,"",INDEX('13 - DATA &amp; LISTS'!$AC$30:$AC$436,$AA287))</f>
        <v/>
      </c>
      <c r="F287" s="18" t="str">
        <f>IF($AA287=0,"",INDEX('13 - DATA &amp; LISTS'!$AD$30:$AD$436,$AA287))</f>
        <v/>
      </c>
      <c r="G287" s="18" t="str">
        <f>IF($AA287=0,"",INDEX('13 - DATA &amp; LISTS'!$AE$30:$AE$436,$AA287))</f>
        <v/>
      </c>
      <c r="H287" s="19" t="str">
        <f>IF($AA287=0,"",INDEX('13 - DATA &amp; LISTS'!$AF$30:$AF$436,$AA287))</f>
        <v/>
      </c>
      <c r="I287" s="18" t="str">
        <f>IF($AA287=0,"",INDEX('13 - DATA &amp; LISTS'!$AG$30:$AG$436,$AA287))</f>
        <v/>
      </c>
      <c r="J287" s="18" t="str">
        <f>IF($AA287=0,"",INDEX('13 - DATA &amp; LISTS'!$AH$30:$AH$436,$AA287))</f>
        <v/>
      </c>
      <c r="K287" s="18" t="str">
        <f>IF($AA287=0,"",INDEX('13 - DATA &amp; LISTS'!$AI$30:$AI$436,$AA287))</f>
        <v/>
      </c>
      <c r="AA287">
        <f>IF(COUNTIF('13 - DATA &amp; LISTS'!$AK$30:$AK$436,"&lt;999999999999")&lt;279,0,MATCH(SMALL('13 - DATA &amp; LISTS'!$AK$30:$AK$436,279),'13 - DATA &amp; LISTS'!$AK$30:$AK$436,0))</f>
        <v>0</v>
      </c>
    </row>
    <row r="288" spans="1:27" ht="63.95" customHeight="1">
      <c r="A288" s="18" t="str">
        <f>IF($AA288=0,"",INDEX('13 - DATA &amp; LISTS'!$Y$30:$Y$436,$AA288))</f>
        <v/>
      </c>
      <c r="B288" s="18" t="str">
        <f>IF($AA288=0,"",INDEX('13 - DATA &amp; LISTS'!$Z$30:$Z$436,$AA288))</f>
        <v/>
      </c>
      <c r="C288" s="18" t="str">
        <f>IF($AA288=0,"",INDEX('13 - DATA &amp; LISTS'!$AA$30:$AA$436,$AA288))</f>
        <v/>
      </c>
      <c r="D288" s="18" t="str">
        <f>IF($AA288=0,"",INDEX('13 - DATA &amp; LISTS'!$AB$30:$AB$436,$AA288))</f>
        <v/>
      </c>
      <c r="E288" s="18" t="str">
        <f>IF($AA288=0,"",INDEX('13 - DATA &amp; LISTS'!$AC$30:$AC$436,$AA288))</f>
        <v/>
      </c>
      <c r="F288" s="18" t="str">
        <f>IF($AA288=0,"",INDEX('13 - DATA &amp; LISTS'!$AD$30:$AD$436,$AA288))</f>
        <v/>
      </c>
      <c r="G288" s="18" t="str">
        <f>IF($AA288=0,"",INDEX('13 - DATA &amp; LISTS'!$AE$30:$AE$436,$AA288))</f>
        <v/>
      </c>
      <c r="H288" s="19" t="str">
        <f>IF($AA288=0,"",INDEX('13 - DATA &amp; LISTS'!$AF$30:$AF$436,$AA288))</f>
        <v/>
      </c>
      <c r="I288" s="18" t="str">
        <f>IF($AA288=0,"",INDEX('13 - DATA &amp; LISTS'!$AG$30:$AG$436,$AA288))</f>
        <v/>
      </c>
      <c r="J288" s="18" t="str">
        <f>IF($AA288=0,"",INDEX('13 - DATA &amp; LISTS'!$AH$30:$AH$436,$AA288))</f>
        <v/>
      </c>
      <c r="K288" s="18" t="str">
        <f>IF($AA288=0,"",INDEX('13 - DATA &amp; LISTS'!$AI$30:$AI$436,$AA288))</f>
        <v/>
      </c>
      <c r="AA288">
        <f>IF(COUNTIF('13 - DATA &amp; LISTS'!$AK$30:$AK$436,"&lt;999999999999")&lt;280,0,MATCH(SMALL('13 - DATA &amp; LISTS'!$AK$30:$AK$436,280),'13 - DATA &amp; LISTS'!$AK$30:$AK$436,0))</f>
        <v>0</v>
      </c>
    </row>
    <row r="289" spans="1:27" ht="63.95" customHeight="1">
      <c r="A289" s="18" t="str">
        <f>IF($AA289=0,"",INDEX('13 - DATA &amp; LISTS'!$Y$30:$Y$436,$AA289))</f>
        <v/>
      </c>
      <c r="B289" s="18" t="str">
        <f>IF($AA289=0,"",INDEX('13 - DATA &amp; LISTS'!$Z$30:$Z$436,$AA289))</f>
        <v/>
      </c>
      <c r="C289" s="18" t="str">
        <f>IF($AA289=0,"",INDEX('13 - DATA &amp; LISTS'!$AA$30:$AA$436,$AA289))</f>
        <v/>
      </c>
      <c r="D289" s="18" t="str">
        <f>IF($AA289=0,"",INDEX('13 - DATA &amp; LISTS'!$AB$30:$AB$436,$AA289))</f>
        <v/>
      </c>
      <c r="E289" s="18" t="str">
        <f>IF($AA289=0,"",INDEX('13 - DATA &amp; LISTS'!$AC$30:$AC$436,$AA289))</f>
        <v/>
      </c>
      <c r="F289" s="18" t="str">
        <f>IF($AA289=0,"",INDEX('13 - DATA &amp; LISTS'!$AD$30:$AD$436,$AA289))</f>
        <v/>
      </c>
      <c r="G289" s="18" t="str">
        <f>IF($AA289=0,"",INDEX('13 - DATA &amp; LISTS'!$AE$30:$AE$436,$AA289))</f>
        <v/>
      </c>
      <c r="H289" s="19" t="str">
        <f>IF($AA289=0,"",INDEX('13 - DATA &amp; LISTS'!$AF$30:$AF$436,$AA289))</f>
        <v/>
      </c>
      <c r="I289" s="18" t="str">
        <f>IF($AA289=0,"",INDEX('13 - DATA &amp; LISTS'!$AG$30:$AG$436,$AA289))</f>
        <v/>
      </c>
      <c r="J289" s="18" t="str">
        <f>IF($AA289=0,"",INDEX('13 - DATA &amp; LISTS'!$AH$30:$AH$436,$AA289))</f>
        <v/>
      </c>
      <c r="K289" s="18" t="str">
        <f>IF($AA289=0,"",INDEX('13 - DATA &amp; LISTS'!$AI$30:$AI$436,$AA289))</f>
        <v/>
      </c>
      <c r="AA289">
        <f>IF(COUNTIF('13 - DATA &amp; LISTS'!$AK$30:$AK$436,"&lt;999999999999")&lt;281,0,MATCH(SMALL('13 - DATA &amp; LISTS'!$AK$30:$AK$436,281),'13 - DATA &amp; LISTS'!$AK$30:$AK$436,0))</f>
        <v>0</v>
      </c>
    </row>
    <row r="290" spans="1:27" ht="63.95" customHeight="1">
      <c r="A290" s="18" t="str">
        <f>IF($AA290=0,"",INDEX('13 - DATA &amp; LISTS'!$Y$30:$Y$436,$AA290))</f>
        <v/>
      </c>
      <c r="B290" s="18" t="str">
        <f>IF($AA290=0,"",INDEX('13 - DATA &amp; LISTS'!$Z$30:$Z$436,$AA290))</f>
        <v/>
      </c>
      <c r="C290" s="18" t="str">
        <f>IF($AA290=0,"",INDEX('13 - DATA &amp; LISTS'!$AA$30:$AA$436,$AA290))</f>
        <v/>
      </c>
      <c r="D290" s="18" t="str">
        <f>IF($AA290=0,"",INDEX('13 - DATA &amp; LISTS'!$AB$30:$AB$436,$AA290))</f>
        <v/>
      </c>
      <c r="E290" s="18" t="str">
        <f>IF($AA290=0,"",INDEX('13 - DATA &amp; LISTS'!$AC$30:$AC$436,$AA290))</f>
        <v/>
      </c>
      <c r="F290" s="18" t="str">
        <f>IF($AA290=0,"",INDEX('13 - DATA &amp; LISTS'!$AD$30:$AD$436,$AA290))</f>
        <v/>
      </c>
      <c r="G290" s="18" t="str">
        <f>IF($AA290=0,"",INDEX('13 - DATA &amp; LISTS'!$AE$30:$AE$436,$AA290))</f>
        <v/>
      </c>
      <c r="H290" s="19" t="str">
        <f>IF($AA290=0,"",INDEX('13 - DATA &amp; LISTS'!$AF$30:$AF$436,$AA290))</f>
        <v/>
      </c>
      <c r="I290" s="18" t="str">
        <f>IF($AA290=0,"",INDEX('13 - DATA &amp; LISTS'!$AG$30:$AG$436,$AA290))</f>
        <v/>
      </c>
      <c r="J290" s="18" t="str">
        <f>IF($AA290=0,"",INDEX('13 - DATA &amp; LISTS'!$AH$30:$AH$436,$AA290))</f>
        <v/>
      </c>
      <c r="K290" s="18" t="str">
        <f>IF($AA290=0,"",INDEX('13 - DATA &amp; LISTS'!$AI$30:$AI$436,$AA290))</f>
        <v/>
      </c>
      <c r="AA290">
        <f>IF(COUNTIF('13 - DATA &amp; LISTS'!$AK$30:$AK$436,"&lt;999999999999")&lt;282,0,MATCH(SMALL('13 - DATA &amp; LISTS'!$AK$30:$AK$436,282),'13 - DATA &amp; LISTS'!$AK$30:$AK$436,0))</f>
        <v>0</v>
      </c>
    </row>
    <row r="291" spans="1:27" ht="63.95" customHeight="1">
      <c r="A291" s="18" t="str">
        <f>IF($AA291=0,"",INDEX('13 - DATA &amp; LISTS'!$Y$30:$Y$436,$AA291))</f>
        <v/>
      </c>
      <c r="B291" s="18" t="str">
        <f>IF($AA291=0,"",INDEX('13 - DATA &amp; LISTS'!$Z$30:$Z$436,$AA291))</f>
        <v/>
      </c>
      <c r="C291" s="18" t="str">
        <f>IF($AA291=0,"",INDEX('13 - DATA &amp; LISTS'!$AA$30:$AA$436,$AA291))</f>
        <v/>
      </c>
      <c r="D291" s="18" t="str">
        <f>IF($AA291=0,"",INDEX('13 - DATA &amp; LISTS'!$AB$30:$AB$436,$AA291))</f>
        <v/>
      </c>
      <c r="E291" s="18" t="str">
        <f>IF($AA291=0,"",INDEX('13 - DATA &amp; LISTS'!$AC$30:$AC$436,$AA291))</f>
        <v/>
      </c>
      <c r="F291" s="18" t="str">
        <f>IF($AA291=0,"",INDEX('13 - DATA &amp; LISTS'!$AD$30:$AD$436,$AA291))</f>
        <v/>
      </c>
      <c r="G291" s="18" t="str">
        <f>IF($AA291=0,"",INDEX('13 - DATA &amp; LISTS'!$AE$30:$AE$436,$AA291))</f>
        <v/>
      </c>
      <c r="H291" s="19" t="str">
        <f>IF($AA291=0,"",INDEX('13 - DATA &amp; LISTS'!$AF$30:$AF$436,$AA291))</f>
        <v/>
      </c>
      <c r="I291" s="18" t="str">
        <f>IF($AA291=0,"",INDEX('13 - DATA &amp; LISTS'!$AG$30:$AG$436,$AA291))</f>
        <v/>
      </c>
      <c r="J291" s="18" t="str">
        <f>IF($AA291=0,"",INDEX('13 - DATA &amp; LISTS'!$AH$30:$AH$436,$AA291))</f>
        <v/>
      </c>
      <c r="K291" s="18" t="str">
        <f>IF($AA291=0,"",INDEX('13 - DATA &amp; LISTS'!$AI$30:$AI$436,$AA291))</f>
        <v/>
      </c>
      <c r="AA291">
        <f>IF(COUNTIF('13 - DATA &amp; LISTS'!$AK$30:$AK$436,"&lt;999999999999")&lt;283,0,MATCH(SMALL('13 - DATA &amp; LISTS'!$AK$30:$AK$436,283),'13 - DATA &amp; LISTS'!$AK$30:$AK$436,0))</f>
        <v>0</v>
      </c>
    </row>
    <row r="292" spans="1:27" ht="63.95" customHeight="1">
      <c r="A292" s="18" t="str">
        <f>IF($AA292=0,"",INDEX('13 - DATA &amp; LISTS'!$Y$30:$Y$436,$AA292))</f>
        <v/>
      </c>
      <c r="B292" s="18" t="str">
        <f>IF($AA292=0,"",INDEX('13 - DATA &amp; LISTS'!$Z$30:$Z$436,$AA292))</f>
        <v/>
      </c>
      <c r="C292" s="18" t="str">
        <f>IF($AA292=0,"",INDEX('13 - DATA &amp; LISTS'!$AA$30:$AA$436,$AA292))</f>
        <v/>
      </c>
      <c r="D292" s="18" t="str">
        <f>IF($AA292=0,"",INDEX('13 - DATA &amp; LISTS'!$AB$30:$AB$436,$AA292))</f>
        <v/>
      </c>
      <c r="E292" s="18" t="str">
        <f>IF($AA292=0,"",INDEX('13 - DATA &amp; LISTS'!$AC$30:$AC$436,$AA292))</f>
        <v/>
      </c>
      <c r="F292" s="18" t="str">
        <f>IF($AA292=0,"",INDEX('13 - DATA &amp; LISTS'!$AD$30:$AD$436,$AA292))</f>
        <v/>
      </c>
      <c r="G292" s="18" t="str">
        <f>IF($AA292=0,"",INDEX('13 - DATA &amp; LISTS'!$AE$30:$AE$436,$AA292))</f>
        <v/>
      </c>
      <c r="H292" s="19" t="str">
        <f>IF($AA292=0,"",INDEX('13 - DATA &amp; LISTS'!$AF$30:$AF$436,$AA292))</f>
        <v/>
      </c>
      <c r="I292" s="18" t="str">
        <f>IF($AA292=0,"",INDEX('13 - DATA &amp; LISTS'!$AG$30:$AG$436,$AA292))</f>
        <v/>
      </c>
      <c r="J292" s="18" t="str">
        <f>IF($AA292=0,"",INDEX('13 - DATA &amp; LISTS'!$AH$30:$AH$436,$AA292))</f>
        <v/>
      </c>
      <c r="K292" s="18" t="str">
        <f>IF($AA292=0,"",INDEX('13 - DATA &amp; LISTS'!$AI$30:$AI$436,$AA292))</f>
        <v/>
      </c>
      <c r="AA292">
        <f>IF(COUNTIF('13 - DATA &amp; LISTS'!$AK$30:$AK$436,"&lt;999999999999")&lt;284,0,MATCH(SMALL('13 - DATA &amp; LISTS'!$AK$30:$AK$436,284),'13 - DATA &amp; LISTS'!$AK$30:$AK$436,0))</f>
        <v>0</v>
      </c>
    </row>
    <row r="293" spans="1:27" ht="63.95" customHeight="1">
      <c r="A293" s="18" t="str">
        <f>IF($AA293=0,"",INDEX('13 - DATA &amp; LISTS'!$Y$30:$Y$436,$AA293))</f>
        <v/>
      </c>
      <c r="B293" s="18" t="str">
        <f>IF($AA293=0,"",INDEX('13 - DATA &amp; LISTS'!$Z$30:$Z$436,$AA293))</f>
        <v/>
      </c>
      <c r="C293" s="18" t="str">
        <f>IF($AA293=0,"",INDEX('13 - DATA &amp; LISTS'!$AA$30:$AA$436,$AA293))</f>
        <v/>
      </c>
      <c r="D293" s="18" t="str">
        <f>IF($AA293=0,"",INDEX('13 - DATA &amp; LISTS'!$AB$30:$AB$436,$AA293))</f>
        <v/>
      </c>
      <c r="E293" s="18" t="str">
        <f>IF($AA293=0,"",INDEX('13 - DATA &amp; LISTS'!$AC$30:$AC$436,$AA293))</f>
        <v/>
      </c>
      <c r="F293" s="18" t="str">
        <f>IF($AA293=0,"",INDEX('13 - DATA &amp; LISTS'!$AD$30:$AD$436,$AA293))</f>
        <v/>
      </c>
      <c r="G293" s="18" t="str">
        <f>IF($AA293=0,"",INDEX('13 - DATA &amp; LISTS'!$AE$30:$AE$436,$AA293))</f>
        <v/>
      </c>
      <c r="H293" s="19" t="str">
        <f>IF($AA293=0,"",INDEX('13 - DATA &amp; LISTS'!$AF$30:$AF$436,$AA293))</f>
        <v/>
      </c>
      <c r="I293" s="18" t="str">
        <f>IF($AA293=0,"",INDEX('13 - DATA &amp; LISTS'!$AG$30:$AG$436,$AA293))</f>
        <v/>
      </c>
      <c r="J293" s="18" t="str">
        <f>IF($AA293=0,"",INDEX('13 - DATA &amp; LISTS'!$AH$30:$AH$436,$AA293))</f>
        <v/>
      </c>
      <c r="K293" s="18" t="str">
        <f>IF($AA293=0,"",INDEX('13 - DATA &amp; LISTS'!$AI$30:$AI$436,$AA293))</f>
        <v/>
      </c>
      <c r="AA293">
        <f>IF(COUNTIF('13 - DATA &amp; LISTS'!$AK$30:$AK$436,"&lt;999999999999")&lt;285,0,MATCH(SMALL('13 - DATA &amp; LISTS'!$AK$30:$AK$436,285),'13 - DATA &amp; LISTS'!$AK$30:$AK$436,0))</f>
        <v>0</v>
      </c>
    </row>
    <row r="294" spans="1:27" ht="63.95" customHeight="1">
      <c r="A294" s="18" t="str">
        <f>IF($AA294=0,"",INDEX('13 - DATA &amp; LISTS'!$Y$30:$Y$436,$AA294))</f>
        <v/>
      </c>
      <c r="B294" s="18" t="str">
        <f>IF($AA294=0,"",INDEX('13 - DATA &amp; LISTS'!$Z$30:$Z$436,$AA294))</f>
        <v/>
      </c>
      <c r="C294" s="18" t="str">
        <f>IF($AA294=0,"",INDEX('13 - DATA &amp; LISTS'!$AA$30:$AA$436,$AA294))</f>
        <v/>
      </c>
      <c r="D294" s="18" t="str">
        <f>IF($AA294=0,"",INDEX('13 - DATA &amp; LISTS'!$AB$30:$AB$436,$AA294))</f>
        <v/>
      </c>
      <c r="E294" s="18" t="str">
        <f>IF($AA294=0,"",INDEX('13 - DATA &amp; LISTS'!$AC$30:$AC$436,$AA294))</f>
        <v/>
      </c>
      <c r="F294" s="18" t="str">
        <f>IF($AA294=0,"",INDEX('13 - DATA &amp; LISTS'!$AD$30:$AD$436,$AA294))</f>
        <v/>
      </c>
      <c r="G294" s="18" t="str">
        <f>IF($AA294=0,"",INDEX('13 - DATA &amp; LISTS'!$AE$30:$AE$436,$AA294))</f>
        <v/>
      </c>
      <c r="H294" s="19" t="str">
        <f>IF($AA294=0,"",INDEX('13 - DATA &amp; LISTS'!$AF$30:$AF$436,$AA294))</f>
        <v/>
      </c>
      <c r="I294" s="18" t="str">
        <f>IF($AA294=0,"",INDEX('13 - DATA &amp; LISTS'!$AG$30:$AG$436,$AA294))</f>
        <v/>
      </c>
      <c r="J294" s="18" t="str">
        <f>IF($AA294=0,"",INDEX('13 - DATA &amp; LISTS'!$AH$30:$AH$436,$AA294))</f>
        <v/>
      </c>
      <c r="K294" s="18" t="str">
        <f>IF($AA294=0,"",INDEX('13 - DATA &amp; LISTS'!$AI$30:$AI$436,$AA294))</f>
        <v/>
      </c>
      <c r="AA294">
        <f>IF(COUNTIF('13 - DATA &amp; LISTS'!$AK$30:$AK$436,"&lt;999999999999")&lt;286,0,MATCH(SMALL('13 - DATA &amp; LISTS'!$AK$30:$AK$436,286),'13 - DATA &amp; LISTS'!$AK$30:$AK$436,0))</f>
        <v>0</v>
      </c>
    </row>
    <row r="295" spans="1:27" ht="63.95" customHeight="1">
      <c r="A295" s="18" t="str">
        <f>IF($AA295=0,"",INDEX('13 - DATA &amp; LISTS'!$Y$30:$Y$436,$AA295))</f>
        <v/>
      </c>
      <c r="B295" s="18" t="str">
        <f>IF($AA295=0,"",INDEX('13 - DATA &amp; LISTS'!$Z$30:$Z$436,$AA295))</f>
        <v/>
      </c>
      <c r="C295" s="18" t="str">
        <f>IF($AA295=0,"",INDEX('13 - DATA &amp; LISTS'!$AA$30:$AA$436,$AA295))</f>
        <v/>
      </c>
      <c r="D295" s="18" t="str">
        <f>IF($AA295=0,"",INDEX('13 - DATA &amp; LISTS'!$AB$30:$AB$436,$AA295))</f>
        <v/>
      </c>
      <c r="E295" s="18" t="str">
        <f>IF($AA295=0,"",INDEX('13 - DATA &amp; LISTS'!$AC$30:$AC$436,$AA295))</f>
        <v/>
      </c>
      <c r="F295" s="18" t="str">
        <f>IF($AA295=0,"",INDEX('13 - DATA &amp; LISTS'!$AD$30:$AD$436,$AA295))</f>
        <v/>
      </c>
      <c r="G295" s="18" t="str">
        <f>IF($AA295=0,"",INDEX('13 - DATA &amp; LISTS'!$AE$30:$AE$436,$AA295))</f>
        <v/>
      </c>
      <c r="H295" s="19" t="str">
        <f>IF($AA295=0,"",INDEX('13 - DATA &amp; LISTS'!$AF$30:$AF$436,$AA295))</f>
        <v/>
      </c>
      <c r="I295" s="18" t="str">
        <f>IF($AA295=0,"",INDEX('13 - DATA &amp; LISTS'!$AG$30:$AG$436,$AA295))</f>
        <v/>
      </c>
      <c r="J295" s="18" t="str">
        <f>IF($AA295=0,"",INDEX('13 - DATA &amp; LISTS'!$AH$30:$AH$436,$AA295))</f>
        <v/>
      </c>
      <c r="K295" s="18" t="str">
        <f>IF($AA295=0,"",INDEX('13 - DATA &amp; LISTS'!$AI$30:$AI$436,$AA295))</f>
        <v/>
      </c>
      <c r="AA295">
        <f>IF(COUNTIF('13 - DATA &amp; LISTS'!$AK$30:$AK$436,"&lt;999999999999")&lt;287,0,MATCH(SMALL('13 - DATA &amp; LISTS'!$AK$30:$AK$436,287),'13 - DATA &amp; LISTS'!$AK$30:$AK$436,0))</f>
        <v>0</v>
      </c>
    </row>
    <row r="296" spans="1:27" ht="63.95" customHeight="1">
      <c r="A296" s="18" t="str">
        <f>IF($AA296=0,"",INDEX('13 - DATA &amp; LISTS'!$Y$30:$Y$436,$AA296))</f>
        <v/>
      </c>
      <c r="B296" s="18" t="str">
        <f>IF($AA296=0,"",INDEX('13 - DATA &amp; LISTS'!$Z$30:$Z$436,$AA296))</f>
        <v/>
      </c>
      <c r="C296" s="18" t="str">
        <f>IF($AA296=0,"",INDEX('13 - DATA &amp; LISTS'!$AA$30:$AA$436,$AA296))</f>
        <v/>
      </c>
      <c r="D296" s="18" t="str">
        <f>IF($AA296=0,"",INDEX('13 - DATA &amp; LISTS'!$AB$30:$AB$436,$AA296))</f>
        <v/>
      </c>
      <c r="E296" s="18" t="str">
        <f>IF($AA296=0,"",INDEX('13 - DATA &amp; LISTS'!$AC$30:$AC$436,$AA296))</f>
        <v/>
      </c>
      <c r="F296" s="18" t="str">
        <f>IF($AA296=0,"",INDEX('13 - DATA &amp; LISTS'!$AD$30:$AD$436,$AA296))</f>
        <v/>
      </c>
      <c r="G296" s="18" t="str">
        <f>IF($AA296=0,"",INDEX('13 - DATA &amp; LISTS'!$AE$30:$AE$436,$AA296))</f>
        <v/>
      </c>
      <c r="H296" s="19" t="str">
        <f>IF($AA296=0,"",INDEX('13 - DATA &amp; LISTS'!$AF$30:$AF$436,$AA296))</f>
        <v/>
      </c>
      <c r="I296" s="18" t="str">
        <f>IF($AA296=0,"",INDEX('13 - DATA &amp; LISTS'!$AG$30:$AG$436,$AA296))</f>
        <v/>
      </c>
      <c r="J296" s="18" t="str">
        <f>IF($AA296=0,"",INDEX('13 - DATA &amp; LISTS'!$AH$30:$AH$436,$AA296))</f>
        <v/>
      </c>
      <c r="K296" s="18" t="str">
        <f>IF($AA296=0,"",INDEX('13 - DATA &amp; LISTS'!$AI$30:$AI$436,$AA296))</f>
        <v/>
      </c>
      <c r="AA296">
        <f>IF(COUNTIF('13 - DATA &amp; LISTS'!$AK$30:$AK$436,"&lt;999999999999")&lt;288,0,MATCH(SMALL('13 - DATA &amp; LISTS'!$AK$30:$AK$436,288),'13 - DATA &amp; LISTS'!$AK$30:$AK$436,0))</f>
        <v>0</v>
      </c>
    </row>
    <row r="297" spans="1:27" ht="63.95" customHeight="1">
      <c r="A297" s="18" t="str">
        <f>IF($AA297=0,"",INDEX('13 - DATA &amp; LISTS'!$Y$30:$Y$436,$AA297))</f>
        <v/>
      </c>
      <c r="B297" s="18" t="str">
        <f>IF($AA297=0,"",INDEX('13 - DATA &amp; LISTS'!$Z$30:$Z$436,$AA297))</f>
        <v/>
      </c>
      <c r="C297" s="18" t="str">
        <f>IF($AA297=0,"",INDEX('13 - DATA &amp; LISTS'!$AA$30:$AA$436,$AA297))</f>
        <v/>
      </c>
      <c r="D297" s="18" t="str">
        <f>IF($AA297=0,"",INDEX('13 - DATA &amp; LISTS'!$AB$30:$AB$436,$AA297))</f>
        <v/>
      </c>
      <c r="E297" s="18" t="str">
        <f>IF($AA297=0,"",INDEX('13 - DATA &amp; LISTS'!$AC$30:$AC$436,$AA297))</f>
        <v/>
      </c>
      <c r="F297" s="18" t="str">
        <f>IF($AA297=0,"",INDEX('13 - DATA &amp; LISTS'!$AD$30:$AD$436,$AA297))</f>
        <v/>
      </c>
      <c r="G297" s="18" t="str">
        <f>IF($AA297=0,"",INDEX('13 - DATA &amp; LISTS'!$AE$30:$AE$436,$AA297))</f>
        <v/>
      </c>
      <c r="H297" s="19" t="str">
        <f>IF($AA297=0,"",INDEX('13 - DATA &amp; LISTS'!$AF$30:$AF$436,$AA297))</f>
        <v/>
      </c>
      <c r="I297" s="18" t="str">
        <f>IF($AA297=0,"",INDEX('13 - DATA &amp; LISTS'!$AG$30:$AG$436,$AA297))</f>
        <v/>
      </c>
      <c r="J297" s="18" t="str">
        <f>IF($AA297=0,"",INDEX('13 - DATA &amp; LISTS'!$AH$30:$AH$436,$AA297))</f>
        <v/>
      </c>
      <c r="K297" s="18" t="str">
        <f>IF($AA297=0,"",INDEX('13 - DATA &amp; LISTS'!$AI$30:$AI$436,$AA297))</f>
        <v/>
      </c>
      <c r="AA297">
        <f>IF(COUNTIF('13 - DATA &amp; LISTS'!$AK$30:$AK$436,"&lt;999999999999")&lt;289,0,MATCH(SMALL('13 - DATA &amp; LISTS'!$AK$30:$AK$436,289),'13 - DATA &amp; LISTS'!$AK$30:$AK$436,0))</f>
        <v>0</v>
      </c>
    </row>
    <row r="298" spans="1:27" ht="63.95" customHeight="1">
      <c r="A298" s="18" t="str">
        <f>IF($AA298=0,"",INDEX('13 - DATA &amp; LISTS'!$Y$30:$Y$436,$AA298))</f>
        <v/>
      </c>
      <c r="B298" s="18" t="str">
        <f>IF($AA298=0,"",INDEX('13 - DATA &amp; LISTS'!$Z$30:$Z$436,$AA298))</f>
        <v/>
      </c>
      <c r="C298" s="18" t="str">
        <f>IF($AA298=0,"",INDEX('13 - DATA &amp; LISTS'!$AA$30:$AA$436,$AA298))</f>
        <v/>
      </c>
      <c r="D298" s="18" t="str">
        <f>IF($AA298=0,"",INDEX('13 - DATA &amp; LISTS'!$AB$30:$AB$436,$AA298))</f>
        <v/>
      </c>
      <c r="E298" s="18" t="str">
        <f>IF($AA298=0,"",INDEX('13 - DATA &amp; LISTS'!$AC$30:$AC$436,$AA298))</f>
        <v/>
      </c>
      <c r="F298" s="18" t="str">
        <f>IF($AA298=0,"",INDEX('13 - DATA &amp; LISTS'!$AD$30:$AD$436,$AA298))</f>
        <v/>
      </c>
      <c r="G298" s="18" t="str">
        <f>IF($AA298=0,"",INDEX('13 - DATA &amp; LISTS'!$AE$30:$AE$436,$AA298))</f>
        <v/>
      </c>
      <c r="H298" s="19" t="str">
        <f>IF($AA298=0,"",INDEX('13 - DATA &amp; LISTS'!$AF$30:$AF$436,$AA298))</f>
        <v/>
      </c>
      <c r="I298" s="18" t="str">
        <f>IF($AA298=0,"",INDEX('13 - DATA &amp; LISTS'!$AG$30:$AG$436,$AA298))</f>
        <v/>
      </c>
      <c r="J298" s="18" t="str">
        <f>IF($AA298=0,"",INDEX('13 - DATA &amp; LISTS'!$AH$30:$AH$436,$AA298))</f>
        <v/>
      </c>
      <c r="K298" s="18" t="str">
        <f>IF($AA298=0,"",INDEX('13 - DATA &amp; LISTS'!$AI$30:$AI$436,$AA298))</f>
        <v/>
      </c>
      <c r="AA298">
        <f>IF(COUNTIF('13 - DATA &amp; LISTS'!$AK$30:$AK$436,"&lt;999999999999")&lt;290,0,MATCH(SMALL('13 - DATA &amp; LISTS'!$AK$30:$AK$436,290),'13 - DATA &amp; LISTS'!$AK$30:$AK$436,0))</f>
        <v>0</v>
      </c>
    </row>
    <row r="299" spans="1:27" ht="63.95" customHeight="1">
      <c r="A299" s="18" t="str">
        <f>IF($AA299=0,"",INDEX('13 - DATA &amp; LISTS'!$Y$30:$Y$436,$AA299))</f>
        <v/>
      </c>
      <c r="B299" s="18" t="str">
        <f>IF($AA299=0,"",INDEX('13 - DATA &amp; LISTS'!$Z$30:$Z$436,$AA299))</f>
        <v/>
      </c>
      <c r="C299" s="18" t="str">
        <f>IF($AA299=0,"",INDEX('13 - DATA &amp; LISTS'!$AA$30:$AA$436,$AA299))</f>
        <v/>
      </c>
      <c r="D299" s="18" t="str">
        <f>IF($AA299=0,"",INDEX('13 - DATA &amp; LISTS'!$AB$30:$AB$436,$AA299))</f>
        <v/>
      </c>
      <c r="E299" s="18" t="str">
        <f>IF($AA299=0,"",INDEX('13 - DATA &amp; LISTS'!$AC$30:$AC$436,$AA299))</f>
        <v/>
      </c>
      <c r="F299" s="18" t="str">
        <f>IF($AA299=0,"",INDEX('13 - DATA &amp; LISTS'!$AD$30:$AD$436,$AA299))</f>
        <v/>
      </c>
      <c r="G299" s="18" t="str">
        <f>IF($AA299=0,"",INDEX('13 - DATA &amp; LISTS'!$AE$30:$AE$436,$AA299))</f>
        <v/>
      </c>
      <c r="H299" s="19" t="str">
        <f>IF($AA299=0,"",INDEX('13 - DATA &amp; LISTS'!$AF$30:$AF$436,$AA299))</f>
        <v/>
      </c>
      <c r="I299" s="18" t="str">
        <f>IF($AA299=0,"",INDEX('13 - DATA &amp; LISTS'!$AG$30:$AG$436,$AA299))</f>
        <v/>
      </c>
      <c r="J299" s="18" t="str">
        <f>IF($AA299=0,"",INDEX('13 - DATA &amp; LISTS'!$AH$30:$AH$436,$AA299))</f>
        <v/>
      </c>
      <c r="K299" s="18" t="str">
        <f>IF($AA299=0,"",INDEX('13 - DATA &amp; LISTS'!$AI$30:$AI$436,$AA299))</f>
        <v/>
      </c>
      <c r="AA299">
        <f>IF(COUNTIF('13 - DATA &amp; LISTS'!$AK$30:$AK$436,"&lt;999999999999")&lt;291,0,MATCH(SMALL('13 - DATA &amp; LISTS'!$AK$30:$AK$436,291),'13 - DATA &amp; LISTS'!$AK$30:$AK$436,0))</f>
        <v>0</v>
      </c>
    </row>
    <row r="300" spans="1:27" ht="63.95" customHeight="1">
      <c r="A300" s="18" t="str">
        <f>IF($AA300=0,"",INDEX('13 - DATA &amp; LISTS'!$Y$30:$Y$436,$AA300))</f>
        <v/>
      </c>
      <c r="B300" s="18" t="str">
        <f>IF($AA300=0,"",INDEX('13 - DATA &amp; LISTS'!$Z$30:$Z$436,$AA300))</f>
        <v/>
      </c>
      <c r="C300" s="18" t="str">
        <f>IF($AA300=0,"",INDEX('13 - DATA &amp; LISTS'!$AA$30:$AA$436,$AA300))</f>
        <v/>
      </c>
      <c r="D300" s="18" t="str">
        <f>IF($AA300=0,"",INDEX('13 - DATA &amp; LISTS'!$AB$30:$AB$436,$AA300))</f>
        <v/>
      </c>
      <c r="E300" s="18" t="str">
        <f>IF($AA300=0,"",INDEX('13 - DATA &amp; LISTS'!$AC$30:$AC$436,$AA300))</f>
        <v/>
      </c>
      <c r="F300" s="18" t="str">
        <f>IF($AA300=0,"",INDEX('13 - DATA &amp; LISTS'!$AD$30:$AD$436,$AA300))</f>
        <v/>
      </c>
      <c r="G300" s="18" t="str">
        <f>IF($AA300=0,"",INDEX('13 - DATA &amp; LISTS'!$AE$30:$AE$436,$AA300))</f>
        <v/>
      </c>
      <c r="H300" s="19" t="str">
        <f>IF($AA300=0,"",INDEX('13 - DATA &amp; LISTS'!$AF$30:$AF$436,$AA300))</f>
        <v/>
      </c>
      <c r="I300" s="18" t="str">
        <f>IF($AA300=0,"",INDEX('13 - DATA &amp; LISTS'!$AG$30:$AG$436,$AA300))</f>
        <v/>
      </c>
      <c r="J300" s="18" t="str">
        <f>IF($AA300=0,"",INDEX('13 - DATA &amp; LISTS'!$AH$30:$AH$436,$AA300))</f>
        <v/>
      </c>
      <c r="K300" s="18" t="str">
        <f>IF($AA300=0,"",INDEX('13 - DATA &amp; LISTS'!$AI$30:$AI$436,$AA300))</f>
        <v/>
      </c>
      <c r="AA300">
        <f>IF(COUNTIF('13 - DATA &amp; LISTS'!$AK$30:$AK$436,"&lt;999999999999")&lt;292,0,MATCH(SMALL('13 - DATA &amp; LISTS'!$AK$30:$AK$436,292),'13 - DATA &amp; LISTS'!$AK$30:$AK$436,0))</f>
        <v>0</v>
      </c>
    </row>
    <row r="301" spans="1:27" ht="63.95" customHeight="1">
      <c r="A301" s="18" t="str">
        <f>IF($AA301=0,"",INDEX('13 - DATA &amp; LISTS'!$Y$30:$Y$436,$AA301))</f>
        <v/>
      </c>
      <c r="B301" s="18" t="str">
        <f>IF($AA301=0,"",INDEX('13 - DATA &amp; LISTS'!$Z$30:$Z$436,$AA301))</f>
        <v/>
      </c>
      <c r="C301" s="18" t="str">
        <f>IF($AA301=0,"",INDEX('13 - DATA &amp; LISTS'!$AA$30:$AA$436,$AA301))</f>
        <v/>
      </c>
      <c r="D301" s="18" t="str">
        <f>IF($AA301=0,"",INDEX('13 - DATA &amp; LISTS'!$AB$30:$AB$436,$AA301))</f>
        <v/>
      </c>
      <c r="E301" s="18" t="str">
        <f>IF($AA301=0,"",INDEX('13 - DATA &amp; LISTS'!$AC$30:$AC$436,$AA301))</f>
        <v/>
      </c>
      <c r="F301" s="18" t="str">
        <f>IF($AA301=0,"",INDEX('13 - DATA &amp; LISTS'!$AD$30:$AD$436,$AA301))</f>
        <v/>
      </c>
      <c r="G301" s="18" t="str">
        <f>IF($AA301=0,"",INDEX('13 - DATA &amp; LISTS'!$AE$30:$AE$436,$AA301))</f>
        <v/>
      </c>
      <c r="H301" s="19" t="str">
        <f>IF($AA301=0,"",INDEX('13 - DATA &amp; LISTS'!$AF$30:$AF$436,$AA301))</f>
        <v/>
      </c>
      <c r="I301" s="18" t="str">
        <f>IF($AA301=0,"",INDEX('13 - DATA &amp; LISTS'!$AG$30:$AG$436,$AA301))</f>
        <v/>
      </c>
      <c r="J301" s="18" t="str">
        <f>IF($AA301=0,"",INDEX('13 - DATA &amp; LISTS'!$AH$30:$AH$436,$AA301))</f>
        <v/>
      </c>
      <c r="K301" s="18" t="str">
        <f>IF($AA301=0,"",INDEX('13 - DATA &amp; LISTS'!$AI$30:$AI$436,$AA301))</f>
        <v/>
      </c>
      <c r="AA301">
        <f>IF(COUNTIF('13 - DATA &amp; LISTS'!$AK$30:$AK$436,"&lt;999999999999")&lt;293,0,MATCH(SMALL('13 - DATA &amp; LISTS'!$AK$30:$AK$436,293),'13 - DATA &amp; LISTS'!$AK$30:$AK$436,0))</f>
        <v>0</v>
      </c>
    </row>
    <row r="302" spans="1:27" ht="63.95" customHeight="1">
      <c r="A302" s="18" t="str">
        <f>IF($AA302=0,"",INDEX('13 - DATA &amp; LISTS'!$Y$30:$Y$436,$AA302))</f>
        <v/>
      </c>
      <c r="B302" s="18" t="str">
        <f>IF($AA302=0,"",INDEX('13 - DATA &amp; LISTS'!$Z$30:$Z$436,$AA302))</f>
        <v/>
      </c>
      <c r="C302" s="18" t="str">
        <f>IF($AA302=0,"",INDEX('13 - DATA &amp; LISTS'!$AA$30:$AA$436,$AA302))</f>
        <v/>
      </c>
      <c r="D302" s="18" t="str">
        <f>IF($AA302=0,"",INDEX('13 - DATA &amp; LISTS'!$AB$30:$AB$436,$AA302))</f>
        <v/>
      </c>
      <c r="E302" s="18" t="str">
        <f>IF($AA302=0,"",INDEX('13 - DATA &amp; LISTS'!$AC$30:$AC$436,$AA302))</f>
        <v/>
      </c>
      <c r="F302" s="18" t="str">
        <f>IF($AA302=0,"",INDEX('13 - DATA &amp; LISTS'!$AD$30:$AD$436,$AA302))</f>
        <v/>
      </c>
      <c r="G302" s="18" t="str">
        <f>IF($AA302=0,"",INDEX('13 - DATA &amp; LISTS'!$AE$30:$AE$436,$AA302))</f>
        <v/>
      </c>
      <c r="H302" s="19" t="str">
        <f>IF($AA302=0,"",INDEX('13 - DATA &amp; LISTS'!$AF$30:$AF$436,$AA302))</f>
        <v/>
      </c>
      <c r="I302" s="18" t="str">
        <f>IF($AA302=0,"",INDEX('13 - DATA &amp; LISTS'!$AG$30:$AG$436,$AA302))</f>
        <v/>
      </c>
      <c r="J302" s="18" t="str">
        <f>IF($AA302=0,"",INDEX('13 - DATA &amp; LISTS'!$AH$30:$AH$436,$AA302))</f>
        <v/>
      </c>
      <c r="K302" s="18" t="str">
        <f>IF($AA302=0,"",INDEX('13 - DATA &amp; LISTS'!$AI$30:$AI$436,$AA302))</f>
        <v/>
      </c>
      <c r="AA302">
        <f>IF(COUNTIF('13 - DATA &amp; LISTS'!$AK$30:$AK$436,"&lt;999999999999")&lt;294,0,MATCH(SMALL('13 - DATA &amp; LISTS'!$AK$30:$AK$436,294),'13 - DATA &amp; LISTS'!$AK$30:$AK$436,0))</f>
        <v>0</v>
      </c>
    </row>
    <row r="303" spans="1:27" ht="63.95" customHeight="1">
      <c r="A303" s="18" t="str">
        <f>IF($AA303=0,"",INDEX('13 - DATA &amp; LISTS'!$Y$30:$Y$436,$AA303))</f>
        <v/>
      </c>
      <c r="B303" s="18" t="str">
        <f>IF($AA303=0,"",INDEX('13 - DATA &amp; LISTS'!$Z$30:$Z$436,$AA303))</f>
        <v/>
      </c>
      <c r="C303" s="18" t="str">
        <f>IF($AA303=0,"",INDEX('13 - DATA &amp; LISTS'!$AA$30:$AA$436,$AA303))</f>
        <v/>
      </c>
      <c r="D303" s="18" t="str">
        <f>IF($AA303=0,"",INDEX('13 - DATA &amp; LISTS'!$AB$30:$AB$436,$AA303))</f>
        <v/>
      </c>
      <c r="E303" s="18" t="str">
        <f>IF($AA303=0,"",INDEX('13 - DATA &amp; LISTS'!$AC$30:$AC$436,$AA303))</f>
        <v/>
      </c>
      <c r="F303" s="18" t="str">
        <f>IF($AA303=0,"",INDEX('13 - DATA &amp; LISTS'!$AD$30:$AD$436,$AA303))</f>
        <v/>
      </c>
      <c r="G303" s="18" t="str">
        <f>IF($AA303=0,"",INDEX('13 - DATA &amp; LISTS'!$AE$30:$AE$436,$AA303))</f>
        <v/>
      </c>
      <c r="H303" s="19" t="str">
        <f>IF($AA303=0,"",INDEX('13 - DATA &amp; LISTS'!$AF$30:$AF$436,$AA303))</f>
        <v/>
      </c>
      <c r="I303" s="18" t="str">
        <f>IF($AA303=0,"",INDEX('13 - DATA &amp; LISTS'!$AG$30:$AG$436,$AA303))</f>
        <v/>
      </c>
      <c r="J303" s="18" t="str">
        <f>IF($AA303=0,"",INDEX('13 - DATA &amp; LISTS'!$AH$30:$AH$436,$AA303))</f>
        <v/>
      </c>
      <c r="K303" s="18" t="str">
        <f>IF($AA303=0,"",INDEX('13 - DATA &amp; LISTS'!$AI$30:$AI$436,$AA303))</f>
        <v/>
      </c>
      <c r="AA303">
        <f>IF(COUNTIF('13 - DATA &amp; LISTS'!$AK$30:$AK$436,"&lt;999999999999")&lt;295,0,MATCH(SMALL('13 - DATA &amp; LISTS'!$AK$30:$AK$436,295),'13 - DATA &amp; LISTS'!$AK$30:$AK$436,0))</f>
        <v>0</v>
      </c>
    </row>
    <row r="304" spans="1:27" ht="63.95" customHeight="1">
      <c r="A304" s="18" t="str">
        <f>IF($AA304=0,"",INDEX('13 - DATA &amp; LISTS'!$Y$30:$Y$436,$AA304))</f>
        <v/>
      </c>
      <c r="B304" s="18" t="str">
        <f>IF($AA304=0,"",INDEX('13 - DATA &amp; LISTS'!$Z$30:$Z$436,$AA304))</f>
        <v/>
      </c>
      <c r="C304" s="18" t="str">
        <f>IF($AA304=0,"",INDEX('13 - DATA &amp; LISTS'!$AA$30:$AA$436,$AA304))</f>
        <v/>
      </c>
      <c r="D304" s="18" t="str">
        <f>IF($AA304=0,"",INDEX('13 - DATA &amp; LISTS'!$AB$30:$AB$436,$AA304))</f>
        <v/>
      </c>
      <c r="E304" s="18" t="str">
        <f>IF($AA304=0,"",INDEX('13 - DATA &amp; LISTS'!$AC$30:$AC$436,$AA304))</f>
        <v/>
      </c>
      <c r="F304" s="18" t="str">
        <f>IF($AA304=0,"",INDEX('13 - DATA &amp; LISTS'!$AD$30:$AD$436,$AA304))</f>
        <v/>
      </c>
      <c r="G304" s="18" t="str">
        <f>IF($AA304=0,"",INDEX('13 - DATA &amp; LISTS'!$AE$30:$AE$436,$AA304))</f>
        <v/>
      </c>
      <c r="H304" s="19" t="str">
        <f>IF($AA304=0,"",INDEX('13 - DATA &amp; LISTS'!$AF$30:$AF$436,$AA304))</f>
        <v/>
      </c>
      <c r="I304" s="18" t="str">
        <f>IF($AA304=0,"",INDEX('13 - DATA &amp; LISTS'!$AG$30:$AG$436,$AA304))</f>
        <v/>
      </c>
      <c r="J304" s="18" t="str">
        <f>IF($AA304=0,"",INDEX('13 - DATA &amp; LISTS'!$AH$30:$AH$436,$AA304))</f>
        <v/>
      </c>
      <c r="K304" s="18" t="str">
        <f>IF($AA304=0,"",INDEX('13 - DATA &amp; LISTS'!$AI$30:$AI$436,$AA304))</f>
        <v/>
      </c>
      <c r="AA304">
        <f>IF(COUNTIF('13 - DATA &amp; LISTS'!$AK$30:$AK$436,"&lt;999999999999")&lt;296,0,MATCH(SMALL('13 - DATA &amp; LISTS'!$AK$30:$AK$436,296),'13 - DATA &amp; LISTS'!$AK$30:$AK$436,0))</f>
        <v>0</v>
      </c>
    </row>
    <row r="305" spans="1:27" ht="63.95" customHeight="1">
      <c r="A305" s="18" t="str">
        <f>IF($AA305=0,"",INDEX('13 - DATA &amp; LISTS'!$Y$30:$Y$436,$AA305))</f>
        <v/>
      </c>
      <c r="B305" s="18" t="str">
        <f>IF($AA305=0,"",INDEX('13 - DATA &amp; LISTS'!$Z$30:$Z$436,$AA305))</f>
        <v/>
      </c>
      <c r="C305" s="18" t="str">
        <f>IF($AA305=0,"",INDEX('13 - DATA &amp; LISTS'!$AA$30:$AA$436,$AA305))</f>
        <v/>
      </c>
      <c r="D305" s="18" t="str">
        <f>IF($AA305=0,"",INDEX('13 - DATA &amp; LISTS'!$AB$30:$AB$436,$AA305))</f>
        <v/>
      </c>
      <c r="E305" s="18" t="str">
        <f>IF($AA305=0,"",INDEX('13 - DATA &amp; LISTS'!$AC$30:$AC$436,$AA305))</f>
        <v/>
      </c>
      <c r="F305" s="18" t="str">
        <f>IF($AA305=0,"",INDEX('13 - DATA &amp; LISTS'!$AD$30:$AD$436,$AA305))</f>
        <v/>
      </c>
      <c r="G305" s="18" t="str">
        <f>IF($AA305=0,"",INDEX('13 - DATA &amp; LISTS'!$AE$30:$AE$436,$AA305))</f>
        <v/>
      </c>
      <c r="H305" s="19" t="str">
        <f>IF($AA305=0,"",INDEX('13 - DATA &amp; LISTS'!$AF$30:$AF$436,$AA305))</f>
        <v/>
      </c>
      <c r="I305" s="18" t="str">
        <f>IF($AA305=0,"",INDEX('13 - DATA &amp; LISTS'!$AG$30:$AG$436,$AA305))</f>
        <v/>
      </c>
      <c r="J305" s="18" t="str">
        <f>IF($AA305=0,"",INDEX('13 - DATA &amp; LISTS'!$AH$30:$AH$436,$AA305))</f>
        <v/>
      </c>
      <c r="K305" s="18" t="str">
        <f>IF($AA305=0,"",INDEX('13 - DATA &amp; LISTS'!$AI$30:$AI$436,$AA305))</f>
        <v/>
      </c>
      <c r="AA305">
        <f>IF(COUNTIF('13 - DATA &amp; LISTS'!$AK$30:$AK$436,"&lt;999999999999")&lt;297,0,MATCH(SMALL('13 - DATA &amp; LISTS'!$AK$30:$AK$436,297),'13 - DATA &amp; LISTS'!$AK$30:$AK$436,0))</f>
        <v>0</v>
      </c>
    </row>
    <row r="306" spans="1:27" ht="63.95" customHeight="1">
      <c r="A306" s="18" t="str">
        <f>IF($AA306=0,"",INDEX('13 - DATA &amp; LISTS'!$Y$30:$Y$436,$AA306))</f>
        <v/>
      </c>
      <c r="B306" s="18" t="str">
        <f>IF($AA306=0,"",INDEX('13 - DATA &amp; LISTS'!$Z$30:$Z$436,$AA306))</f>
        <v/>
      </c>
      <c r="C306" s="18" t="str">
        <f>IF($AA306=0,"",INDEX('13 - DATA &amp; LISTS'!$AA$30:$AA$436,$AA306))</f>
        <v/>
      </c>
      <c r="D306" s="18" t="str">
        <f>IF($AA306=0,"",INDEX('13 - DATA &amp; LISTS'!$AB$30:$AB$436,$AA306))</f>
        <v/>
      </c>
      <c r="E306" s="18" t="str">
        <f>IF($AA306=0,"",INDEX('13 - DATA &amp; LISTS'!$AC$30:$AC$436,$AA306))</f>
        <v/>
      </c>
      <c r="F306" s="18" t="str">
        <f>IF($AA306=0,"",INDEX('13 - DATA &amp; LISTS'!$AD$30:$AD$436,$AA306))</f>
        <v/>
      </c>
      <c r="G306" s="18" t="str">
        <f>IF($AA306=0,"",INDEX('13 - DATA &amp; LISTS'!$AE$30:$AE$436,$AA306))</f>
        <v/>
      </c>
      <c r="H306" s="19" t="str">
        <f>IF($AA306=0,"",INDEX('13 - DATA &amp; LISTS'!$AF$30:$AF$436,$AA306))</f>
        <v/>
      </c>
      <c r="I306" s="18" t="str">
        <f>IF($AA306=0,"",INDEX('13 - DATA &amp; LISTS'!$AG$30:$AG$436,$AA306))</f>
        <v/>
      </c>
      <c r="J306" s="18" t="str">
        <f>IF($AA306=0,"",INDEX('13 - DATA &amp; LISTS'!$AH$30:$AH$436,$AA306))</f>
        <v/>
      </c>
      <c r="K306" s="18" t="str">
        <f>IF($AA306=0,"",INDEX('13 - DATA &amp; LISTS'!$AI$30:$AI$436,$AA306))</f>
        <v/>
      </c>
      <c r="AA306">
        <f>IF(COUNTIF('13 - DATA &amp; LISTS'!$AK$30:$AK$436,"&lt;999999999999")&lt;298,0,MATCH(SMALL('13 - DATA &amp; LISTS'!$AK$30:$AK$436,298),'13 - DATA &amp; LISTS'!$AK$30:$AK$436,0))</f>
        <v>0</v>
      </c>
    </row>
    <row r="307" spans="1:27" ht="63.95" customHeight="1">
      <c r="A307" s="18" t="str">
        <f>IF($AA307=0,"",INDEX('13 - DATA &amp; LISTS'!$Y$30:$Y$436,$AA307))</f>
        <v/>
      </c>
      <c r="B307" s="18" t="str">
        <f>IF($AA307=0,"",INDEX('13 - DATA &amp; LISTS'!$Z$30:$Z$436,$AA307))</f>
        <v/>
      </c>
      <c r="C307" s="18" t="str">
        <f>IF($AA307=0,"",INDEX('13 - DATA &amp; LISTS'!$AA$30:$AA$436,$AA307))</f>
        <v/>
      </c>
      <c r="D307" s="18" t="str">
        <f>IF($AA307=0,"",INDEX('13 - DATA &amp; LISTS'!$AB$30:$AB$436,$AA307))</f>
        <v/>
      </c>
      <c r="E307" s="18" t="str">
        <f>IF($AA307=0,"",INDEX('13 - DATA &amp; LISTS'!$AC$30:$AC$436,$AA307))</f>
        <v/>
      </c>
      <c r="F307" s="18" t="str">
        <f>IF($AA307=0,"",INDEX('13 - DATA &amp; LISTS'!$AD$30:$AD$436,$AA307))</f>
        <v/>
      </c>
      <c r="G307" s="18" t="str">
        <f>IF($AA307=0,"",INDEX('13 - DATA &amp; LISTS'!$AE$30:$AE$436,$AA307))</f>
        <v/>
      </c>
      <c r="H307" s="19" t="str">
        <f>IF($AA307=0,"",INDEX('13 - DATA &amp; LISTS'!$AF$30:$AF$436,$AA307))</f>
        <v/>
      </c>
      <c r="I307" s="18" t="str">
        <f>IF($AA307=0,"",INDEX('13 - DATA &amp; LISTS'!$AG$30:$AG$436,$AA307))</f>
        <v/>
      </c>
      <c r="J307" s="18" t="str">
        <f>IF($AA307=0,"",INDEX('13 - DATA &amp; LISTS'!$AH$30:$AH$436,$AA307))</f>
        <v/>
      </c>
      <c r="K307" s="18" t="str">
        <f>IF($AA307=0,"",INDEX('13 - DATA &amp; LISTS'!$AI$30:$AI$436,$AA307))</f>
        <v/>
      </c>
      <c r="AA307">
        <f>IF(COUNTIF('13 - DATA &amp; LISTS'!$AK$30:$AK$436,"&lt;999999999999")&lt;299,0,MATCH(SMALL('13 - DATA &amp; LISTS'!$AK$30:$AK$436,299),'13 - DATA &amp; LISTS'!$AK$30:$AK$436,0))</f>
        <v>0</v>
      </c>
    </row>
    <row r="308" spans="1:27" ht="63.95" customHeight="1">
      <c r="A308" s="18" t="str">
        <f>IF($AA308=0,"",INDEX('13 - DATA &amp; LISTS'!$Y$30:$Y$436,$AA308))</f>
        <v/>
      </c>
      <c r="B308" s="18" t="str">
        <f>IF($AA308=0,"",INDEX('13 - DATA &amp; LISTS'!$Z$30:$Z$436,$AA308))</f>
        <v/>
      </c>
      <c r="C308" s="18" t="str">
        <f>IF($AA308=0,"",INDEX('13 - DATA &amp; LISTS'!$AA$30:$AA$436,$AA308))</f>
        <v/>
      </c>
      <c r="D308" s="18" t="str">
        <f>IF($AA308=0,"",INDEX('13 - DATA &amp; LISTS'!$AB$30:$AB$436,$AA308))</f>
        <v/>
      </c>
      <c r="E308" s="18" t="str">
        <f>IF($AA308=0,"",INDEX('13 - DATA &amp; LISTS'!$AC$30:$AC$436,$AA308))</f>
        <v/>
      </c>
      <c r="F308" s="18" t="str">
        <f>IF($AA308=0,"",INDEX('13 - DATA &amp; LISTS'!$AD$30:$AD$436,$AA308))</f>
        <v/>
      </c>
      <c r="G308" s="18" t="str">
        <f>IF($AA308=0,"",INDEX('13 - DATA &amp; LISTS'!$AE$30:$AE$436,$AA308))</f>
        <v/>
      </c>
      <c r="H308" s="19" t="str">
        <f>IF($AA308=0,"",INDEX('13 - DATA &amp; LISTS'!$AF$30:$AF$436,$AA308))</f>
        <v/>
      </c>
      <c r="I308" s="18" t="str">
        <f>IF($AA308=0,"",INDEX('13 - DATA &amp; LISTS'!$AG$30:$AG$436,$AA308))</f>
        <v/>
      </c>
      <c r="J308" s="18" t="str">
        <f>IF($AA308=0,"",INDEX('13 - DATA &amp; LISTS'!$AH$30:$AH$436,$AA308))</f>
        <v/>
      </c>
      <c r="K308" s="18" t="str">
        <f>IF($AA308=0,"",INDEX('13 - DATA &amp; LISTS'!$AI$30:$AI$436,$AA308))</f>
        <v/>
      </c>
      <c r="AA308">
        <f>IF(COUNTIF('13 - DATA &amp; LISTS'!$AK$30:$AK$436,"&lt;999999999999")&lt;300,0,MATCH(SMALL('13 - DATA &amp; LISTS'!$AK$30:$AK$436,300),'13 - DATA &amp; LISTS'!$AK$30:$AK$436,0))</f>
        <v>0</v>
      </c>
    </row>
    <row r="309" spans="1:27" ht="63.95" customHeight="1">
      <c r="A309" s="18" t="str">
        <f>IF($AA309=0,"",INDEX('13 - DATA &amp; LISTS'!$Y$30:$Y$436,$AA309))</f>
        <v/>
      </c>
      <c r="B309" s="18" t="str">
        <f>IF($AA309=0,"",INDEX('13 - DATA &amp; LISTS'!$Z$30:$Z$436,$AA309))</f>
        <v/>
      </c>
      <c r="C309" s="18" t="str">
        <f>IF($AA309=0,"",INDEX('13 - DATA &amp; LISTS'!$AA$30:$AA$436,$AA309))</f>
        <v/>
      </c>
      <c r="D309" s="18" t="str">
        <f>IF($AA309=0,"",INDEX('13 - DATA &amp; LISTS'!$AB$30:$AB$436,$AA309))</f>
        <v/>
      </c>
      <c r="E309" s="18" t="str">
        <f>IF($AA309=0,"",INDEX('13 - DATA &amp; LISTS'!$AC$30:$AC$436,$AA309))</f>
        <v/>
      </c>
      <c r="F309" s="18" t="str">
        <f>IF($AA309=0,"",INDEX('13 - DATA &amp; LISTS'!$AD$30:$AD$436,$AA309))</f>
        <v/>
      </c>
      <c r="G309" s="18" t="str">
        <f>IF($AA309=0,"",INDEX('13 - DATA &amp; LISTS'!$AE$30:$AE$436,$AA309))</f>
        <v/>
      </c>
      <c r="H309" s="19" t="str">
        <f>IF($AA309=0,"",INDEX('13 - DATA &amp; LISTS'!$AF$30:$AF$436,$AA309))</f>
        <v/>
      </c>
      <c r="I309" s="18" t="str">
        <f>IF($AA309=0,"",INDEX('13 - DATA &amp; LISTS'!$AG$30:$AG$436,$AA309))</f>
        <v/>
      </c>
      <c r="J309" s="18" t="str">
        <f>IF($AA309=0,"",INDEX('13 - DATA &amp; LISTS'!$AH$30:$AH$436,$AA309))</f>
        <v/>
      </c>
      <c r="K309" s="18" t="str">
        <f>IF($AA309=0,"",INDEX('13 - DATA &amp; LISTS'!$AI$30:$AI$436,$AA309))</f>
        <v/>
      </c>
      <c r="AA309">
        <f>IF(COUNTIF('13 - DATA &amp; LISTS'!$AK$30:$AK$436,"&lt;999999999999")&lt;301,0,MATCH(SMALL('13 - DATA &amp; LISTS'!$AK$30:$AK$436,301),'13 - DATA &amp; LISTS'!$AK$30:$AK$436,0))</f>
        <v>0</v>
      </c>
    </row>
    <row r="310" spans="1:27" ht="63.95" customHeight="1">
      <c r="A310" s="18" t="str">
        <f>IF($AA310=0,"",INDEX('13 - DATA &amp; LISTS'!$Y$30:$Y$436,$AA310))</f>
        <v/>
      </c>
      <c r="B310" s="18" t="str">
        <f>IF($AA310=0,"",INDEX('13 - DATA &amp; LISTS'!$Z$30:$Z$436,$AA310))</f>
        <v/>
      </c>
      <c r="C310" s="18" t="str">
        <f>IF($AA310=0,"",INDEX('13 - DATA &amp; LISTS'!$AA$30:$AA$436,$AA310))</f>
        <v/>
      </c>
      <c r="D310" s="18" t="str">
        <f>IF($AA310=0,"",INDEX('13 - DATA &amp; LISTS'!$AB$30:$AB$436,$AA310))</f>
        <v/>
      </c>
      <c r="E310" s="18" t="str">
        <f>IF($AA310=0,"",INDEX('13 - DATA &amp; LISTS'!$AC$30:$AC$436,$AA310))</f>
        <v/>
      </c>
      <c r="F310" s="18" t="str">
        <f>IF($AA310=0,"",INDEX('13 - DATA &amp; LISTS'!$AD$30:$AD$436,$AA310))</f>
        <v/>
      </c>
      <c r="G310" s="18" t="str">
        <f>IF($AA310=0,"",INDEX('13 - DATA &amp; LISTS'!$AE$30:$AE$436,$AA310))</f>
        <v/>
      </c>
      <c r="H310" s="19" t="str">
        <f>IF($AA310=0,"",INDEX('13 - DATA &amp; LISTS'!$AF$30:$AF$436,$AA310))</f>
        <v/>
      </c>
      <c r="I310" s="18" t="str">
        <f>IF($AA310=0,"",INDEX('13 - DATA &amp; LISTS'!$AG$30:$AG$436,$AA310))</f>
        <v/>
      </c>
      <c r="J310" s="18" t="str">
        <f>IF($AA310=0,"",INDEX('13 - DATA &amp; LISTS'!$AH$30:$AH$436,$AA310))</f>
        <v/>
      </c>
      <c r="K310" s="18" t="str">
        <f>IF($AA310=0,"",INDEX('13 - DATA &amp; LISTS'!$AI$30:$AI$436,$AA310))</f>
        <v/>
      </c>
      <c r="AA310">
        <f>IF(COUNTIF('13 - DATA &amp; LISTS'!$AK$30:$AK$436,"&lt;999999999999")&lt;302,0,MATCH(SMALL('13 - DATA &amp; LISTS'!$AK$30:$AK$436,302),'13 - DATA &amp; LISTS'!$AK$30:$AK$436,0))</f>
        <v>0</v>
      </c>
    </row>
    <row r="311" spans="1:27" ht="63.95" customHeight="1">
      <c r="A311" s="18" t="str">
        <f>IF($AA311=0,"",INDEX('13 - DATA &amp; LISTS'!$Y$30:$Y$436,$AA311))</f>
        <v/>
      </c>
      <c r="B311" s="18" t="str">
        <f>IF($AA311=0,"",INDEX('13 - DATA &amp; LISTS'!$Z$30:$Z$436,$AA311))</f>
        <v/>
      </c>
      <c r="C311" s="18" t="str">
        <f>IF($AA311=0,"",INDEX('13 - DATA &amp; LISTS'!$AA$30:$AA$436,$AA311))</f>
        <v/>
      </c>
      <c r="D311" s="18" t="str">
        <f>IF($AA311=0,"",INDEX('13 - DATA &amp; LISTS'!$AB$30:$AB$436,$AA311))</f>
        <v/>
      </c>
      <c r="E311" s="18" t="str">
        <f>IF($AA311=0,"",INDEX('13 - DATA &amp; LISTS'!$AC$30:$AC$436,$AA311))</f>
        <v/>
      </c>
      <c r="F311" s="18" t="str">
        <f>IF($AA311=0,"",INDEX('13 - DATA &amp; LISTS'!$AD$30:$AD$436,$AA311))</f>
        <v/>
      </c>
      <c r="G311" s="18" t="str">
        <f>IF($AA311=0,"",INDEX('13 - DATA &amp; LISTS'!$AE$30:$AE$436,$AA311))</f>
        <v/>
      </c>
      <c r="H311" s="19" t="str">
        <f>IF($AA311=0,"",INDEX('13 - DATA &amp; LISTS'!$AF$30:$AF$436,$AA311))</f>
        <v/>
      </c>
      <c r="I311" s="18" t="str">
        <f>IF($AA311=0,"",INDEX('13 - DATA &amp; LISTS'!$AG$30:$AG$436,$AA311))</f>
        <v/>
      </c>
      <c r="J311" s="18" t="str">
        <f>IF($AA311=0,"",INDEX('13 - DATA &amp; LISTS'!$AH$30:$AH$436,$AA311))</f>
        <v/>
      </c>
      <c r="K311" s="18" t="str">
        <f>IF($AA311=0,"",INDEX('13 - DATA &amp; LISTS'!$AI$30:$AI$436,$AA311))</f>
        <v/>
      </c>
      <c r="AA311">
        <f>IF(COUNTIF('13 - DATA &amp; LISTS'!$AK$30:$AK$436,"&lt;999999999999")&lt;303,0,MATCH(SMALL('13 - DATA &amp; LISTS'!$AK$30:$AK$436,303),'13 - DATA &amp; LISTS'!$AK$30:$AK$436,0))</f>
        <v>0</v>
      </c>
    </row>
    <row r="312" spans="1:27" ht="63.95" customHeight="1">
      <c r="A312" s="18" t="str">
        <f>IF($AA312=0,"",INDEX('13 - DATA &amp; LISTS'!$Y$30:$Y$436,$AA312))</f>
        <v/>
      </c>
      <c r="B312" s="18" t="str">
        <f>IF($AA312=0,"",INDEX('13 - DATA &amp; LISTS'!$Z$30:$Z$436,$AA312))</f>
        <v/>
      </c>
      <c r="C312" s="18" t="str">
        <f>IF($AA312=0,"",INDEX('13 - DATA &amp; LISTS'!$AA$30:$AA$436,$AA312))</f>
        <v/>
      </c>
      <c r="D312" s="18" t="str">
        <f>IF($AA312=0,"",INDEX('13 - DATA &amp; LISTS'!$AB$30:$AB$436,$AA312))</f>
        <v/>
      </c>
      <c r="E312" s="18" t="str">
        <f>IF($AA312=0,"",INDEX('13 - DATA &amp; LISTS'!$AC$30:$AC$436,$AA312))</f>
        <v/>
      </c>
      <c r="F312" s="18" t="str">
        <f>IF($AA312=0,"",INDEX('13 - DATA &amp; LISTS'!$AD$30:$AD$436,$AA312))</f>
        <v/>
      </c>
      <c r="G312" s="18" t="str">
        <f>IF($AA312=0,"",INDEX('13 - DATA &amp; LISTS'!$AE$30:$AE$436,$AA312))</f>
        <v/>
      </c>
      <c r="H312" s="19" t="str">
        <f>IF($AA312=0,"",INDEX('13 - DATA &amp; LISTS'!$AF$30:$AF$436,$AA312))</f>
        <v/>
      </c>
      <c r="I312" s="18" t="str">
        <f>IF($AA312=0,"",INDEX('13 - DATA &amp; LISTS'!$AG$30:$AG$436,$AA312))</f>
        <v/>
      </c>
      <c r="J312" s="18" t="str">
        <f>IF($AA312=0,"",INDEX('13 - DATA &amp; LISTS'!$AH$30:$AH$436,$AA312))</f>
        <v/>
      </c>
      <c r="K312" s="18" t="str">
        <f>IF($AA312=0,"",INDEX('13 - DATA &amp; LISTS'!$AI$30:$AI$436,$AA312))</f>
        <v/>
      </c>
      <c r="AA312">
        <f>IF(COUNTIF('13 - DATA &amp; LISTS'!$AK$30:$AK$436,"&lt;999999999999")&lt;304,0,MATCH(SMALL('13 - DATA &amp; LISTS'!$AK$30:$AK$436,304),'13 - DATA &amp; LISTS'!$AK$30:$AK$436,0))</f>
        <v>0</v>
      </c>
    </row>
    <row r="313" spans="1:27" ht="63.95" customHeight="1">
      <c r="A313" s="18" t="str">
        <f>IF($AA313=0,"",INDEX('13 - DATA &amp; LISTS'!$Y$30:$Y$436,$AA313))</f>
        <v/>
      </c>
      <c r="B313" s="18" t="str">
        <f>IF($AA313=0,"",INDEX('13 - DATA &amp; LISTS'!$Z$30:$Z$436,$AA313))</f>
        <v/>
      </c>
      <c r="C313" s="18" t="str">
        <f>IF($AA313=0,"",INDEX('13 - DATA &amp; LISTS'!$AA$30:$AA$436,$AA313))</f>
        <v/>
      </c>
      <c r="D313" s="18" t="str">
        <f>IF($AA313=0,"",INDEX('13 - DATA &amp; LISTS'!$AB$30:$AB$436,$AA313))</f>
        <v/>
      </c>
      <c r="E313" s="18" t="str">
        <f>IF($AA313=0,"",INDEX('13 - DATA &amp; LISTS'!$AC$30:$AC$436,$AA313))</f>
        <v/>
      </c>
      <c r="F313" s="18" t="str">
        <f>IF($AA313=0,"",INDEX('13 - DATA &amp; LISTS'!$AD$30:$AD$436,$AA313))</f>
        <v/>
      </c>
      <c r="G313" s="18" t="str">
        <f>IF($AA313=0,"",INDEX('13 - DATA &amp; LISTS'!$AE$30:$AE$436,$AA313))</f>
        <v/>
      </c>
      <c r="H313" s="19" t="str">
        <f>IF($AA313=0,"",INDEX('13 - DATA &amp; LISTS'!$AF$30:$AF$436,$AA313))</f>
        <v/>
      </c>
      <c r="I313" s="18" t="str">
        <f>IF($AA313=0,"",INDEX('13 - DATA &amp; LISTS'!$AG$30:$AG$436,$AA313))</f>
        <v/>
      </c>
      <c r="J313" s="18" t="str">
        <f>IF($AA313=0,"",INDEX('13 - DATA &amp; LISTS'!$AH$30:$AH$436,$AA313))</f>
        <v/>
      </c>
      <c r="K313" s="18" t="str">
        <f>IF($AA313=0,"",INDEX('13 - DATA &amp; LISTS'!$AI$30:$AI$436,$AA313))</f>
        <v/>
      </c>
      <c r="AA313">
        <f>IF(COUNTIF('13 - DATA &amp; LISTS'!$AK$30:$AK$436,"&lt;999999999999")&lt;305,0,MATCH(SMALL('13 - DATA &amp; LISTS'!$AK$30:$AK$436,305),'13 - DATA &amp; LISTS'!$AK$30:$AK$436,0))</f>
        <v>0</v>
      </c>
    </row>
    <row r="314" spans="1:27" ht="63.95" customHeight="1">
      <c r="A314" s="18" t="str">
        <f>IF($AA314=0,"",INDEX('13 - DATA &amp; LISTS'!$Y$30:$Y$436,$AA314))</f>
        <v/>
      </c>
      <c r="B314" s="18" t="str">
        <f>IF($AA314=0,"",INDEX('13 - DATA &amp; LISTS'!$Z$30:$Z$436,$AA314))</f>
        <v/>
      </c>
      <c r="C314" s="18" t="str">
        <f>IF($AA314=0,"",INDEX('13 - DATA &amp; LISTS'!$AA$30:$AA$436,$AA314))</f>
        <v/>
      </c>
      <c r="D314" s="18" t="str">
        <f>IF($AA314=0,"",INDEX('13 - DATA &amp; LISTS'!$AB$30:$AB$436,$AA314))</f>
        <v/>
      </c>
      <c r="E314" s="18" t="str">
        <f>IF($AA314=0,"",INDEX('13 - DATA &amp; LISTS'!$AC$30:$AC$436,$AA314))</f>
        <v/>
      </c>
      <c r="F314" s="18" t="str">
        <f>IF($AA314=0,"",INDEX('13 - DATA &amp; LISTS'!$AD$30:$AD$436,$AA314))</f>
        <v/>
      </c>
      <c r="G314" s="18" t="str">
        <f>IF($AA314=0,"",INDEX('13 - DATA &amp; LISTS'!$AE$30:$AE$436,$AA314))</f>
        <v/>
      </c>
      <c r="H314" s="19" t="str">
        <f>IF($AA314=0,"",INDEX('13 - DATA &amp; LISTS'!$AF$30:$AF$436,$AA314))</f>
        <v/>
      </c>
      <c r="I314" s="18" t="str">
        <f>IF($AA314=0,"",INDEX('13 - DATA &amp; LISTS'!$AG$30:$AG$436,$AA314))</f>
        <v/>
      </c>
      <c r="J314" s="18" t="str">
        <f>IF($AA314=0,"",INDEX('13 - DATA &amp; LISTS'!$AH$30:$AH$436,$AA314))</f>
        <v/>
      </c>
      <c r="K314" s="18" t="str">
        <f>IF($AA314=0,"",INDEX('13 - DATA &amp; LISTS'!$AI$30:$AI$436,$AA314))</f>
        <v/>
      </c>
      <c r="AA314">
        <f>IF(COUNTIF('13 - DATA &amp; LISTS'!$AK$30:$AK$436,"&lt;999999999999")&lt;306,0,MATCH(SMALL('13 - DATA &amp; LISTS'!$AK$30:$AK$436,306),'13 - DATA &amp; LISTS'!$AK$30:$AK$436,0))</f>
        <v>0</v>
      </c>
    </row>
    <row r="315" spans="1:27" ht="63.95" customHeight="1">
      <c r="A315" s="18" t="str">
        <f>IF($AA315=0,"",INDEX('13 - DATA &amp; LISTS'!$Y$30:$Y$436,$AA315))</f>
        <v/>
      </c>
      <c r="B315" s="18" t="str">
        <f>IF($AA315=0,"",INDEX('13 - DATA &amp; LISTS'!$Z$30:$Z$436,$AA315))</f>
        <v/>
      </c>
      <c r="C315" s="18" t="str">
        <f>IF($AA315=0,"",INDEX('13 - DATA &amp; LISTS'!$AA$30:$AA$436,$AA315))</f>
        <v/>
      </c>
      <c r="D315" s="18" t="str">
        <f>IF($AA315=0,"",INDEX('13 - DATA &amp; LISTS'!$AB$30:$AB$436,$AA315))</f>
        <v/>
      </c>
      <c r="E315" s="18" t="str">
        <f>IF($AA315=0,"",INDEX('13 - DATA &amp; LISTS'!$AC$30:$AC$436,$AA315))</f>
        <v/>
      </c>
      <c r="F315" s="18" t="str">
        <f>IF($AA315=0,"",INDEX('13 - DATA &amp; LISTS'!$AD$30:$AD$436,$AA315))</f>
        <v/>
      </c>
      <c r="G315" s="18" t="str">
        <f>IF($AA315=0,"",INDEX('13 - DATA &amp; LISTS'!$AE$30:$AE$436,$AA315))</f>
        <v/>
      </c>
      <c r="H315" s="19" t="str">
        <f>IF($AA315=0,"",INDEX('13 - DATA &amp; LISTS'!$AF$30:$AF$436,$AA315))</f>
        <v/>
      </c>
      <c r="I315" s="18" t="str">
        <f>IF($AA315=0,"",INDEX('13 - DATA &amp; LISTS'!$AG$30:$AG$436,$AA315))</f>
        <v/>
      </c>
      <c r="J315" s="18" t="str">
        <f>IF($AA315=0,"",INDEX('13 - DATA &amp; LISTS'!$AH$30:$AH$436,$AA315))</f>
        <v/>
      </c>
      <c r="K315" s="18" t="str">
        <f>IF($AA315=0,"",INDEX('13 - DATA &amp; LISTS'!$AI$30:$AI$436,$AA315))</f>
        <v/>
      </c>
      <c r="AA315">
        <f>IF(COUNTIF('13 - DATA &amp; LISTS'!$AK$30:$AK$436,"&lt;999999999999")&lt;307,0,MATCH(SMALL('13 - DATA &amp; LISTS'!$AK$30:$AK$436,307),'13 - DATA &amp; LISTS'!$AK$30:$AK$436,0))</f>
        <v>0</v>
      </c>
    </row>
    <row r="316" spans="1:27" ht="63.95" customHeight="1">
      <c r="A316" s="18" t="str">
        <f>IF($AA316=0,"",INDEX('13 - DATA &amp; LISTS'!$Y$30:$Y$436,$AA316))</f>
        <v/>
      </c>
      <c r="B316" s="18" t="str">
        <f>IF($AA316=0,"",INDEX('13 - DATA &amp; LISTS'!$Z$30:$Z$436,$AA316))</f>
        <v/>
      </c>
      <c r="C316" s="18" t="str">
        <f>IF($AA316=0,"",INDEX('13 - DATA &amp; LISTS'!$AA$30:$AA$436,$AA316))</f>
        <v/>
      </c>
      <c r="D316" s="18" t="str">
        <f>IF($AA316=0,"",INDEX('13 - DATA &amp; LISTS'!$AB$30:$AB$436,$AA316))</f>
        <v/>
      </c>
      <c r="E316" s="18" t="str">
        <f>IF($AA316=0,"",INDEX('13 - DATA &amp; LISTS'!$AC$30:$AC$436,$AA316))</f>
        <v/>
      </c>
      <c r="F316" s="18" t="str">
        <f>IF($AA316=0,"",INDEX('13 - DATA &amp; LISTS'!$AD$30:$AD$436,$AA316))</f>
        <v/>
      </c>
      <c r="G316" s="18" t="str">
        <f>IF($AA316=0,"",INDEX('13 - DATA &amp; LISTS'!$AE$30:$AE$436,$AA316))</f>
        <v/>
      </c>
      <c r="H316" s="19" t="str">
        <f>IF($AA316=0,"",INDEX('13 - DATA &amp; LISTS'!$AF$30:$AF$436,$AA316))</f>
        <v/>
      </c>
      <c r="I316" s="18" t="str">
        <f>IF($AA316=0,"",INDEX('13 - DATA &amp; LISTS'!$AG$30:$AG$436,$AA316))</f>
        <v/>
      </c>
      <c r="J316" s="18" t="str">
        <f>IF($AA316=0,"",INDEX('13 - DATA &amp; LISTS'!$AH$30:$AH$436,$AA316))</f>
        <v/>
      </c>
      <c r="K316" s="18" t="str">
        <f>IF($AA316=0,"",INDEX('13 - DATA &amp; LISTS'!$AI$30:$AI$436,$AA316))</f>
        <v/>
      </c>
      <c r="AA316">
        <f>IF(COUNTIF('13 - DATA &amp; LISTS'!$AK$30:$AK$436,"&lt;999999999999")&lt;308,0,MATCH(SMALL('13 - DATA &amp; LISTS'!$AK$30:$AK$436,308),'13 - DATA &amp; LISTS'!$AK$30:$AK$436,0))</f>
        <v>0</v>
      </c>
    </row>
    <row r="317" spans="1:27" ht="63.95" customHeight="1">
      <c r="A317" s="18" t="str">
        <f>IF($AA317=0,"",INDEX('13 - DATA &amp; LISTS'!$Y$30:$Y$436,$AA317))</f>
        <v/>
      </c>
      <c r="B317" s="18" t="str">
        <f>IF($AA317=0,"",INDEX('13 - DATA &amp; LISTS'!$Z$30:$Z$436,$AA317))</f>
        <v/>
      </c>
      <c r="C317" s="18" t="str">
        <f>IF($AA317=0,"",INDEX('13 - DATA &amp; LISTS'!$AA$30:$AA$436,$AA317))</f>
        <v/>
      </c>
      <c r="D317" s="18" t="str">
        <f>IF($AA317=0,"",INDEX('13 - DATA &amp; LISTS'!$AB$30:$AB$436,$AA317))</f>
        <v/>
      </c>
      <c r="E317" s="18" t="str">
        <f>IF($AA317=0,"",INDEX('13 - DATA &amp; LISTS'!$AC$30:$AC$436,$AA317))</f>
        <v/>
      </c>
      <c r="F317" s="18" t="str">
        <f>IF($AA317=0,"",INDEX('13 - DATA &amp; LISTS'!$AD$30:$AD$436,$AA317))</f>
        <v/>
      </c>
      <c r="G317" s="18" t="str">
        <f>IF($AA317=0,"",INDEX('13 - DATA &amp; LISTS'!$AE$30:$AE$436,$AA317))</f>
        <v/>
      </c>
      <c r="H317" s="19" t="str">
        <f>IF($AA317=0,"",INDEX('13 - DATA &amp; LISTS'!$AF$30:$AF$436,$AA317))</f>
        <v/>
      </c>
      <c r="I317" s="18" t="str">
        <f>IF($AA317=0,"",INDEX('13 - DATA &amp; LISTS'!$AG$30:$AG$436,$AA317))</f>
        <v/>
      </c>
      <c r="J317" s="18" t="str">
        <f>IF($AA317=0,"",INDEX('13 - DATA &amp; LISTS'!$AH$30:$AH$436,$AA317))</f>
        <v/>
      </c>
      <c r="K317" s="18" t="str">
        <f>IF($AA317=0,"",INDEX('13 - DATA &amp; LISTS'!$AI$30:$AI$436,$AA317))</f>
        <v/>
      </c>
      <c r="AA317">
        <f>IF(COUNTIF('13 - DATA &amp; LISTS'!$AK$30:$AK$436,"&lt;999999999999")&lt;309,0,MATCH(SMALL('13 - DATA &amp; LISTS'!$AK$30:$AK$436,309),'13 - DATA &amp; LISTS'!$AK$30:$AK$436,0))</f>
        <v>0</v>
      </c>
    </row>
    <row r="318" spans="1:27" ht="63.95" customHeight="1">
      <c r="A318" s="18" t="str">
        <f>IF($AA318=0,"",INDEX('13 - DATA &amp; LISTS'!$Y$30:$Y$436,$AA318))</f>
        <v/>
      </c>
      <c r="B318" s="18" t="str">
        <f>IF($AA318=0,"",INDEX('13 - DATA &amp; LISTS'!$Z$30:$Z$436,$AA318))</f>
        <v/>
      </c>
      <c r="C318" s="18" t="str">
        <f>IF($AA318=0,"",INDEX('13 - DATA &amp; LISTS'!$AA$30:$AA$436,$AA318))</f>
        <v/>
      </c>
      <c r="D318" s="18" t="str">
        <f>IF($AA318=0,"",INDEX('13 - DATA &amp; LISTS'!$AB$30:$AB$436,$AA318))</f>
        <v/>
      </c>
      <c r="E318" s="18" t="str">
        <f>IF($AA318=0,"",INDEX('13 - DATA &amp; LISTS'!$AC$30:$AC$436,$AA318))</f>
        <v/>
      </c>
      <c r="F318" s="18" t="str">
        <f>IF($AA318=0,"",INDEX('13 - DATA &amp; LISTS'!$AD$30:$AD$436,$AA318))</f>
        <v/>
      </c>
      <c r="G318" s="18" t="str">
        <f>IF($AA318=0,"",INDEX('13 - DATA &amp; LISTS'!$AE$30:$AE$436,$AA318))</f>
        <v/>
      </c>
      <c r="H318" s="19" t="str">
        <f>IF($AA318=0,"",INDEX('13 - DATA &amp; LISTS'!$AF$30:$AF$436,$AA318))</f>
        <v/>
      </c>
      <c r="I318" s="18" t="str">
        <f>IF($AA318=0,"",INDEX('13 - DATA &amp; LISTS'!$AG$30:$AG$436,$AA318))</f>
        <v/>
      </c>
      <c r="J318" s="18" t="str">
        <f>IF($AA318=0,"",INDEX('13 - DATA &amp; LISTS'!$AH$30:$AH$436,$AA318))</f>
        <v/>
      </c>
      <c r="K318" s="18" t="str">
        <f>IF($AA318=0,"",INDEX('13 - DATA &amp; LISTS'!$AI$30:$AI$436,$AA318))</f>
        <v/>
      </c>
      <c r="AA318">
        <f>IF(COUNTIF('13 - DATA &amp; LISTS'!$AK$30:$AK$436,"&lt;999999999999")&lt;310,0,MATCH(SMALL('13 - DATA &amp; LISTS'!$AK$30:$AK$436,310),'13 - DATA &amp; LISTS'!$AK$30:$AK$436,0))</f>
        <v>0</v>
      </c>
    </row>
    <row r="319" spans="1:27" ht="63.95" customHeight="1">
      <c r="A319" s="18" t="str">
        <f>IF($AA319=0,"",INDEX('13 - DATA &amp; LISTS'!$Y$30:$Y$436,$AA319))</f>
        <v/>
      </c>
      <c r="B319" s="18" t="str">
        <f>IF($AA319=0,"",INDEX('13 - DATA &amp; LISTS'!$Z$30:$Z$436,$AA319))</f>
        <v/>
      </c>
      <c r="C319" s="18" t="str">
        <f>IF($AA319=0,"",INDEX('13 - DATA &amp; LISTS'!$AA$30:$AA$436,$AA319))</f>
        <v/>
      </c>
      <c r="D319" s="18" t="str">
        <f>IF($AA319=0,"",INDEX('13 - DATA &amp; LISTS'!$AB$30:$AB$436,$AA319))</f>
        <v/>
      </c>
      <c r="E319" s="18" t="str">
        <f>IF($AA319=0,"",INDEX('13 - DATA &amp; LISTS'!$AC$30:$AC$436,$AA319))</f>
        <v/>
      </c>
      <c r="F319" s="18" t="str">
        <f>IF($AA319=0,"",INDEX('13 - DATA &amp; LISTS'!$AD$30:$AD$436,$AA319))</f>
        <v/>
      </c>
      <c r="G319" s="18" t="str">
        <f>IF($AA319=0,"",INDEX('13 - DATA &amp; LISTS'!$AE$30:$AE$436,$AA319))</f>
        <v/>
      </c>
      <c r="H319" s="19" t="str">
        <f>IF($AA319=0,"",INDEX('13 - DATA &amp; LISTS'!$AF$30:$AF$436,$AA319))</f>
        <v/>
      </c>
      <c r="I319" s="18" t="str">
        <f>IF($AA319=0,"",INDEX('13 - DATA &amp; LISTS'!$AG$30:$AG$436,$AA319))</f>
        <v/>
      </c>
      <c r="J319" s="18" t="str">
        <f>IF($AA319=0,"",INDEX('13 - DATA &amp; LISTS'!$AH$30:$AH$436,$AA319))</f>
        <v/>
      </c>
      <c r="K319" s="18" t="str">
        <f>IF($AA319=0,"",INDEX('13 - DATA &amp; LISTS'!$AI$30:$AI$436,$AA319))</f>
        <v/>
      </c>
      <c r="AA319">
        <f>IF(COUNTIF('13 - DATA &amp; LISTS'!$AK$30:$AK$436,"&lt;999999999999")&lt;311,0,MATCH(SMALL('13 - DATA &amp; LISTS'!$AK$30:$AK$436,311),'13 - DATA &amp; LISTS'!$AK$30:$AK$436,0))</f>
        <v>0</v>
      </c>
    </row>
    <row r="320" spans="1:27" ht="63.95" customHeight="1">
      <c r="A320" s="18" t="str">
        <f>IF($AA320=0,"",INDEX('13 - DATA &amp; LISTS'!$Y$30:$Y$436,$AA320))</f>
        <v/>
      </c>
      <c r="B320" s="18" t="str">
        <f>IF($AA320=0,"",INDEX('13 - DATA &amp; LISTS'!$Z$30:$Z$436,$AA320))</f>
        <v/>
      </c>
      <c r="C320" s="18" t="str">
        <f>IF($AA320=0,"",INDEX('13 - DATA &amp; LISTS'!$AA$30:$AA$436,$AA320))</f>
        <v/>
      </c>
      <c r="D320" s="18" t="str">
        <f>IF($AA320=0,"",INDEX('13 - DATA &amp; LISTS'!$AB$30:$AB$436,$AA320))</f>
        <v/>
      </c>
      <c r="E320" s="18" t="str">
        <f>IF($AA320=0,"",INDEX('13 - DATA &amp; LISTS'!$AC$30:$AC$436,$AA320))</f>
        <v/>
      </c>
      <c r="F320" s="18" t="str">
        <f>IF($AA320=0,"",INDEX('13 - DATA &amp; LISTS'!$AD$30:$AD$436,$AA320))</f>
        <v/>
      </c>
      <c r="G320" s="18" t="str">
        <f>IF($AA320=0,"",INDEX('13 - DATA &amp; LISTS'!$AE$30:$AE$436,$AA320))</f>
        <v/>
      </c>
      <c r="H320" s="19" t="str">
        <f>IF($AA320=0,"",INDEX('13 - DATA &amp; LISTS'!$AF$30:$AF$436,$AA320))</f>
        <v/>
      </c>
      <c r="I320" s="18" t="str">
        <f>IF($AA320=0,"",INDEX('13 - DATA &amp; LISTS'!$AG$30:$AG$436,$AA320))</f>
        <v/>
      </c>
      <c r="J320" s="18" t="str">
        <f>IF($AA320=0,"",INDEX('13 - DATA &amp; LISTS'!$AH$30:$AH$436,$AA320))</f>
        <v/>
      </c>
      <c r="K320" s="18" t="str">
        <f>IF($AA320=0,"",INDEX('13 - DATA &amp; LISTS'!$AI$30:$AI$436,$AA320))</f>
        <v/>
      </c>
      <c r="AA320">
        <f>IF(COUNTIF('13 - DATA &amp; LISTS'!$AK$30:$AK$436,"&lt;999999999999")&lt;312,0,MATCH(SMALL('13 - DATA &amp; LISTS'!$AK$30:$AK$436,312),'13 - DATA &amp; LISTS'!$AK$30:$AK$436,0))</f>
        <v>0</v>
      </c>
    </row>
    <row r="321" spans="1:27" ht="63.95" customHeight="1">
      <c r="A321" s="18" t="str">
        <f>IF($AA321=0,"",INDEX('13 - DATA &amp; LISTS'!$Y$30:$Y$436,$AA321))</f>
        <v/>
      </c>
      <c r="B321" s="18" t="str">
        <f>IF($AA321=0,"",INDEX('13 - DATA &amp; LISTS'!$Z$30:$Z$436,$AA321))</f>
        <v/>
      </c>
      <c r="C321" s="18" t="str">
        <f>IF($AA321=0,"",INDEX('13 - DATA &amp; LISTS'!$AA$30:$AA$436,$AA321))</f>
        <v/>
      </c>
      <c r="D321" s="18" t="str">
        <f>IF($AA321=0,"",INDEX('13 - DATA &amp; LISTS'!$AB$30:$AB$436,$AA321))</f>
        <v/>
      </c>
      <c r="E321" s="18" t="str">
        <f>IF($AA321=0,"",INDEX('13 - DATA &amp; LISTS'!$AC$30:$AC$436,$AA321))</f>
        <v/>
      </c>
      <c r="F321" s="18" t="str">
        <f>IF($AA321=0,"",INDEX('13 - DATA &amp; LISTS'!$AD$30:$AD$436,$AA321))</f>
        <v/>
      </c>
      <c r="G321" s="18" t="str">
        <f>IF($AA321=0,"",INDEX('13 - DATA &amp; LISTS'!$AE$30:$AE$436,$AA321))</f>
        <v/>
      </c>
      <c r="H321" s="19" t="str">
        <f>IF($AA321=0,"",INDEX('13 - DATA &amp; LISTS'!$AF$30:$AF$436,$AA321))</f>
        <v/>
      </c>
      <c r="I321" s="18" t="str">
        <f>IF($AA321=0,"",INDEX('13 - DATA &amp; LISTS'!$AG$30:$AG$436,$AA321))</f>
        <v/>
      </c>
      <c r="J321" s="18" t="str">
        <f>IF($AA321=0,"",INDEX('13 - DATA &amp; LISTS'!$AH$30:$AH$436,$AA321))</f>
        <v/>
      </c>
      <c r="K321" s="18" t="str">
        <f>IF($AA321=0,"",INDEX('13 - DATA &amp; LISTS'!$AI$30:$AI$436,$AA321))</f>
        <v/>
      </c>
      <c r="AA321">
        <f>IF(COUNTIF('13 - DATA &amp; LISTS'!$AK$30:$AK$436,"&lt;999999999999")&lt;313,0,MATCH(SMALL('13 - DATA &amp; LISTS'!$AK$30:$AK$436,313),'13 - DATA &amp; LISTS'!$AK$30:$AK$436,0))</f>
        <v>0</v>
      </c>
    </row>
    <row r="322" spans="1:27" ht="63.95" customHeight="1">
      <c r="A322" s="18" t="str">
        <f>IF($AA322=0,"",INDEX('13 - DATA &amp; LISTS'!$Y$30:$Y$436,$AA322))</f>
        <v/>
      </c>
      <c r="B322" s="18" t="str">
        <f>IF($AA322=0,"",INDEX('13 - DATA &amp; LISTS'!$Z$30:$Z$436,$AA322))</f>
        <v/>
      </c>
      <c r="C322" s="18" t="str">
        <f>IF($AA322=0,"",INDEX('13 - DATA &amp; LISTS'!$AA$30:$AA$436,$AA322))</f>
        <v/>
      </c>
      <c r="D322" s="18" t="str">
        <f>IF($AA322=0,"",INDEX('13 - DATA &amp; LISTS'!$AB$30:$AB$436,$AA322))</f>
        <v/>
      </c>
      <c r="E322" s="18" t="str">
        <f>IF($AA322=0,"",INDEX('13 - DATA &amp; LISTS'!$AC$30:$AC$436,$AA322))</f>
        <v/>
      </c>
      <c r="F322" s="18" t="str">
        <f>IF($AA322=0,"",INDEX('13 - DATA &amp; LISTS'!$AD$30:$AD$436,$AA322))</f>
        <v/>
      </c>
      <c r="G322" s="18" t="str">
        <f>IF($AA322=0,"",INDEX('13 - DATA &amp; LISTS'!$AE$30:$AE$436,$AA322))</f>
        <v/>
      </c>
      <c r="H322" s="19" t="str">
        <f>IF($AA322=0,"",INDEX('13 - DATA &amp; LISTS'!$AF$30:$AF$436,$AA322))</f>
        <v/>
      </c>
      <c r="I322" s="18" t="str">
        <f>IF($AA322=0,"",INDEX('13 - DATA &amp; LISTS'!$AG$30:$AG$436,$AA322))</f>
        <v/>
      </c>
      <c r="J322" s="18" t="str">
        <f>IF($AA322=0,"",INDEX('13 - DATA &amp; LISTS'!$AH$30:$AH$436,$AA322))</f>
        <v/>
      </c>
      <c r="K322" s="18" t="str">
        <f>IF($AA322=0,"",INDEX('13 - DATA &amp; LISTS'!$AI$30:$AI$436,$AA322))</f>
        <v/>
      </c>
      <c r="AA322">
        <f>IF(COUNTIF('13 - DATA &amp; LISTS'!$AK$30:$AK$436,"&lt;999999999999")&lt;314,0,MATCH(SMALL('13 - DATA &amp; LISTS'!$AK$30:$AK$436,314),'13 - DATA &amp; LISTS'!$AK$30:$AK$436,0))</f>
        <v>0</v>
      </c>
    </row>
    <row r="323" spans="1:27" ht="63.95" customHeight="1">
      <c r="A323" s="18" t="str">
        <f>IF($AA323=0,"",INDEX('13 - DATA &amp; LISTS'!$Y$30:$Y$436,$AA323))</f>
        <v/>
      </c>
      <c r="B323" s="18" t="str">
        <f>IF($AA323=0,"",INDEX('13 - DATA &amp; LISTS'!$Z$30:$Z$436,$AA323))</f>
        <v/>
      </c>
      <c r="C323" s="18" t="str">
        <f>IF($AA323=0,"",INDEX('13 - DATA &amp; LISTS'!$AA$30:$AA$436,$AA323))</f>
        <v/>
      </c>
      <c r="D323" s="18" t="str">
        <f>IF($AA323=0,"",INDEX('13 - DATA &amp; LISTS'!$AB$30:$AB$436,$AA323))</f>
        <v/>
      </c>
      <c r="E323" s="18" t="str">
        <f>IF($AA323=0,"",INDEX('13 - DATA &amp; LISTS'!$AC$30:$AC$436,$AA323))</f>
        <v/>
      </c>
      <c r="F323" s="18" t="str">
        <f>IF($AA323=0,"",INDEX('13 - DATA &amp; LISTS'!$AD$30:$AD$436,$AA323))</f>
        <v/>
      </c>
      <c r="G323" s="18" t="str">
        <f>IF($AA323=0,"",INDEX('13 - DATA &amp; LISTS'!$AE$30:$AE$436,$AA323))</f>
        <v/>
      </c>
      <c r="H323" s="19" t="str">
        <f>IF($AA323=0,"",INDEX('13 - DATA &amp; LISTS'!$AF$30:$AF$436,$AA323))</f>
        <v/>
      </c>
      <c r="I323" s="18" t="str">
        <f>IF($AA323=0,"",INDEX('13 - DATA &amp; LISTS'!$AG$30:$AG$436,$AA323))</f>
        <v/>
      </c>
      <c r="J323" s="18" t="str">
        <f>IF($AA323=0,"",INDEX('13 - DATA &amp; LISTS'!$AH$30:$AH$436,$AA323))</f>
        <v/>
      </c>
      <c r="K323" s="18" t="str">
        <f>IF($AA323=0,"",INDEX('13 - DATA &amp; LISTS'!$AI$30:$AI$436,$AA323))</f>
        <v/>
      </c>
      <c r="AA323">
        <f>IF(COUNTIF('13 - DATA &amp; LISTS'!$AK$30:$AK$436,"&lt;999999999999")&lt;315,0,MATCH(SMALL('13 - DATA &amp; LISTS'!$AK$30:$AK$436,315),'13 - DATA &amp; LISTS'!$AK$30:$AK$436,0))</f>
        <v>0</v>
      </c>
    </row>
    <row r="324" spans="1:27" ht="63.95" customHeight="1">
      <c r="A324" s="18" t="str">
        <f>IF($AA324=0,"",INDEX('13 - DATA &amp; LISTS'!$Y$30:$Y$436,$AA324))</f>
        <v/>
      </c>
      <c r="B324" s="18" t="str">
        <f>IF($AA324=0,"",INDEX('13 - DATA &amp; LISTS'!$Z$30:$Z$436,$AA324))</f>
        <v/>
      </c>
      <c r="C324" s="18" t="str">
        <f>IF($AA324=0,"",INDEX('13 - DATA &amp; LISTS'!$AA$30:$AA$436,$AA324))</f>
        <v/>
      </c>
      <c r="D324" s="18" t="str">
        <f>IF($AA324=0,"",INDEX('13 - DATA &amp; LISTS'!$AB$30:$AB$436,$AA324))</f>
        <v/>
      </c>
      <c r="E324" s="18" t="str">
        <f>IF($AA324=0,"",INDEX('13 - DATA &amp; LISTS'!$AC$30:$AC$436,$AA324))</f>
        <v/>
      </c>
      <c r="F324" s="18" t="str">
        <f>IF($AA324=0,"",INDEX('13 - DATA &amp; LISTS'!$AD$30:$AD$436,$AA324))</f>
        <v/>
      </c>
      <c r="G324" s="18" t="str">
        <f>IF($AA324=0,"",INDEX('13 - DATA &amp; LISTS'!$AE$30:$AE$436,$AA324))</f>
        <v/>
      </c>
      <c r="H324" s="19" t="str">
        <f>IF($AA324=0,"",INDEX('13 - DATA &amp; LISTS'!$AF$30:$AF$436,$AA324))</f>
        <v/>
      </c>
      <c r="I324" s="18" t="str">
        <f>IF($AA324=0,"",INDEX('13 - DATA &amp; LISTS'!$AG$30:$AG$436,$AA324))</f>
        <v/>
      </c>
      <c r="J324" s="18" t="str">
        <f>IF($AA324=0,"",INDEX('13 - DATA &amp; LISTS'!$AH$30:$AH$436,$AA324))</f>
        <v/>
      </c>
      <c r="K324" s="18" t="str">
        <f>IF($AA324=0,"",INDEX('13 - DATA &amp; LISTS'!$AI$30:$AI$436,$AA324))</f>
        <v/>
      </c>
      <c r="AA324">
        <f>IF(COUNTIF('13 - DATA &amp; LISTS'!$AK$30:$AK$436,"&lt;999999999999")&lt;316,0,MATCH(SMALL('13 - DATA &amp; LISTS'!$AK$30:$AK$436,316),'13 - DATA &amp; LISTS'!$AK$30:$AK$436,0))</f>
        <v>0</v>
      </c>
    </row>
    <row r="325" spans="1:27" ht="63.95" customHeight="1">
      <c r="A325" s="18" t="str">
        <f>IF($AA325=0,"",INDEX('13 - DATA &amp; LISTS'!$Y$30:$Y$436,$AA325))</f>
        <v/>
      </c>
      <c r="B325" s="18" t="str">
        <f>IF($AA325=0,"",INDEX('13 - DATA &amp; LISTS'!$Z$30:$Z$436,$AA325))</f>
        <v/>
      </c>
      <c r="C325" s="18" t="str">
        <f>IF($AA325=0,"",INDEX('13 - DATA &amp; LISTS'!$AA$30:$AA$436,$AA325))</f>
        <v/>
      </c>
      <c r="D325" s="18" t="str">
        <f>IF($AA325=0,"",INDEX('13 - DATA &amp; LISTS'!$AB$30:$AB$436,$AA325))</f>
        <v/>
      </c>
      <c r="E325" s="18" t="str">
        <f>IF($AA325=0,"",INDEX('13 - DATA &amp; LISTS'!$AC$30:$AC$436,$AA325))</f>
        <v/>
      </c>
      <c r="F325" s="18" t="str">
        <f>IF($AA325=0,"",INDEX('13 - DATA &amp; LISTS'!$AD$30:$AD$436,$AA325))</f>
        <v/>
      </c>
      <c r="G325" s="18" t="str">
        <f>IF($AA325=0,"",INDEX('13 - DATA &amp; LISTS'!$AE$30:$AE$436,$AA325))</f>
        <v/>
      </c>
      <c r="H325" s="19" t="str">
        <f>IF($AA325=0,"",INDEX('13 - DATA &amp; LISTS'!$AF$30:$AF$436,$AA325))</f>
        <v/>
      </c>
      <c r="I325" s="18" t="str">
        <f>IF($AA325=0,"",INDEX('13 - DATA &amp; LISTS'!$AG$30:$AG$436,$AA325))</f>
        <v/>
      </c>
      <c r="J325" s="18" t="str">
        <f>IF($AA325=0,"",INDEX('13 - DATA &amp; LISTS'!$AH$30:$AH$436,$AA325))</f>
        <v/>
      </c>
      <c r="K325" s="18" t="str">
        <f>IF($AA325=0,"",INDEX('13 - DATA &amp; LISTS'!$AI$30:$AI$436,$AA325))</f>
        <v/>
      </c>
      <c r="AA325">
        <f>IF(COUNTIF('13 - DATA &amp; LISTS'!$AK$30:$AK$436,"&lt;999999999999")&lt;317,0,MATCH(SMALL('13 - DATA &amp; LISTS'!$AK$30:$AK$436,317),'13 - DATA &amp; LISTS'!$AK$30:$AK$436,0))</f>
        <v>0</v>
      </c>
    </row>
    <row r="326" spans="1:27" ht="63.95" customHeight="1">
      <c r="A326" s="18" t="str">
        <f>IF($AA326=0,"",INDEX('13 - DATA &amp; LISTS'!$Y$30:$Y$436,$AA326))</f>
        <v/>
      </c>
      <c r="B326" s="18" t="str">
        <f>IF($AA326=0,"",INDEX('13 - DATA &amp; LISTS'!$Z$30:$Z$436,$AA326))</f>
        <v/>
      </c>
      <c r="C326" s="18" t="str">
        <f>IF($AA326=0,"",INDEX('13 - DATA &amp; LISTS'!$AA$30:$AA$436,$AA326))</f>
        <v/>
      </c>
      <c r="D326" s="18" t="str">
        <f>IF($AA326=0,"",INDEX('13 - DATA &amp; LISTS'!$AB$30:$AB$436,$AA326))</f>
        <v/>
      </c>
      <c r="E326" s="18" t="str">
        <f>IF($AA326=0,"",INDEX('13 - DATA &amp; LISTS'!$AC$30:$AC$436,$AA326))</f>
        <v/>
      </c>
      <c r="F326" s="18" t="str">
        <f>IF($AA326=0,"",INDEX('13 - DATA &amp; LISTS'!$AD$30:$AD$436,$AA326))</f>
        <v/>
      </c>
      <c r="G326" s="18" t="str">
        <f>IF($AA326=0,"",INDEX('13 - DATA &amp; LISTS'!$AE$30:$AE$436,$AA326))</f>
        <v/>
      </c>
      <c r="H326" s="19" t="str">
        <f>IF($AA326=0,"",INDEX('13 - DATA &amp; LISTS'!$AF$30:$AF$436,$AA326))</f>
        <v/>
      </c>
      <c r="I326" s="18" t="str">
        <f>IF($AA326=0,"",INDEX('13 - DATA &amp; LISTS'!$AG$30:$AG$436,$AA326))</f>
        <v/>
      </c>
      <c r="J326" s="18" t="str">
        <f>IF($AA326=0,"",INDEX('13 - DATA &amp; LISTS'!$AH$30:$AH$436,$AA326))</f>
        <v/>
      </c>
      <c r="K326" s="18" t="str">
        <f>IF($AA326=0,"",INDEX('13 - DATA &amp; LISTS'!$AI$30:$AI$436,$AA326))</f>
        <v/>
      </c>
      <c r="AA326">
        <f>IF(COUNTIF('13 - DATA &amp; LISTS'!$AK$30:$AK$436,"&lt;999999999999")&lt;318,0,MATCH(SMALL('13 - DATA &amp; LISTS'!$AK$30:$AK$436,318),'13 - DATA &amp; LISTS'!$AK$30:$AK$436,0))</f>
        <v>0</v>
      </c>
    </row>
    <row r="327" spans="1:27" ht="63.95" customHeight="1">
      <c r="A327" s="18" t="str">
        <f>IF($AA327=0,"",INDEX('13 - DATA &amp; LISTS'!$Y$30:$Y$436,$AA327))</f>
        <v/>
      </c>
      <c r="B327" s="18" t="str">
        <f>IF($AA327=0,"",INDEX('13 - DATA &amp; LISTS'!$Z$30:$Z$436,$AA327))</f>
        <v/>
      </c>
      <c r="C327" s="18" t="str">
        <f>IF($AA327=0,"",INDEX('13 - DATA &amp; LISTS'!$AA$30:$AA$436,$AA327))</f>
        <v/>
      </c>
      <c r="D327" s="18" t="str">
        <f>IF($AA327=0,"",INDEX('13 - DATA &amp; LISTS'!$AB$30:$AB$436,$AA327))</f>
        <v/>
      </c>
      <c r="E327" s="18" t="str">
        <f>IF($AA327=0,"",INDEX('13 - DATA &amp; LISTS'!$AC$30:$AC$436,$AA327))</f>
        <v/>
      </c>
      <c r="F327" s="18" t="str">
        <f>IF($AA327=0,"",INDEX('13 - DATA &amp; LISTS'!$AD$30:$AD$436,$AA327))</f>
        <v/>
      </c>
      <c r="G327" s="18" t="str">
        <f>IF($AA327=0,"",INDEX('13 - DATA &amp; LISTS'!$AE$30:$AE$436,$AA327))</f>
        <v/>
      </c>
      <c r="H327" s="19" t="str">
        <f>IF($AA327=0,"",INDEX('13 - DATA &amp; LISTS'!$AF$30:$AF$436,$AA327))</f>
        <v/>
      </c>
      <c r="I327" s="18" t="str">
        <f>IF($AA327=0,"",INDEX('13 - DATA &amp; LISTS'!$AG$30:$AG$436,$AA327))</f>
        <v/>
      </c>
      <c r="J327" s="18" t="str">
        <f>IF($AA327=0,"",INDEX('13 - DATA &amp; LISTS'!$AH$30:$AH$436,$AA327))</f>
        <v/>
      </c>
      <c r="K327" s="18" t="str">
        <f>IF($AA327=0,"",INDEX('13 - DATA &amp; LISTS'!$AI$30:$AI$436,$AA327))</f>
        <v/>
      </c>
      <c r="AA327">
        <f>IF(COUNTIF('13 - DATA &amp; LISTS'!$AK$30:$AK$436,"&lt;999999999999")&lt;319,0,MATCH(SMALL('13 - DATA &amp; LISTS'!$AK$30:$AK$436,319),'13 - DATA &amp; LISTS'!$AK$30:$AK$436,0))</f>
        <v>0</v>
      </c>
    </row>
    <row r="328" spans="1:27" ht="63.95" customHeight="1">
      <c r="A328" s="18" t="str">
        <f>IF($AA328=0,"",INDEX('13 - DATA &amp; LISTS'!$Y$30:$Y$436,$AA328))</f>
        <v/>
      </c>
      <c r="B328" s="18" t="str">
        <f>IF($AA328=0,"",INDEX('13 - DATA &amp; LISTS'!$Z$30:$Z$436,$AA328))</f>
        <v/>
      </c>
      <c r="C328" s="18" t="str">
        <f>IF($AA328=0,"",INDEX('13 - DATA &amp; LISTS'!$AA$30:$AA$436,$AA328))</f>
        <v/>
      </c>
      <c r="D328" s="18" t="str">
        <f>IF($AA328=0,"",INDEX('13 - DATA &amp; LISTS'!$AB$30:$AB$436,$AA328))</f>
        <v/>
      </c>
      <c r="E328" s="18" t="str">
        <f>IF($AA328=0,"",INDEX('13 - DATA &amp; LISTS'!$AC$30:$AC$436,$AA328))</f>
        <v/>
      </c>
      <c r="F328" s="18" t="str">
        <f>IF($AA328=0,"",INDEX('13 - DATA &amp; LISTS'!$AD$30:$AD$436,$AA328))</f>
        <v/>
      </c>
      <c r="G328" s="18" t="str">
        <f>IF($AA328=0,"",INDEX('13 - DATA &amp; LISTS'!$AE$30:$AE$436,$AA328))</f>
        <v/>
      </c>
      <c r="H328" s="19" t="str">
        <f>IF($AA328=0,"",INDEX('13 - DATA &amp; LISTS'!$AF$30:$AF$436,$AA328))</f>
        <v/>
      </c>
      <c r="I328" s="18" t="str">
        <f>IF($AA328=0,"",INDEX('13 - DATA &amp; LISTS'!$AG$30:$AG$436,$AA328))</f>
        <v/>
      </c>
      <c r="J328" s="18" t="str">
        <f>IF($AA328=0,"",INDEX('13 - DATA &amp; LISTS'!$AH$30:$AH$436,$AA328))</f>
        <v/>
      </c>
      <c r="K328" s="18" t="str">
        <f>IF($AA328=0,"",INDEX('13 - DATA &amp; LISTS'!$AI$30:$AI$436,$AA328))</f>
        <v/>
      </c>
      <c r="AA328">
        <f>IF(COUNTIF('13 - DATA &amp; LISTS'!$AK$30:$AK$436,"&lt;999999999999")&lt;320,0,MATCH(SMALL('13 - DATA &amp; LISTS'!$AK$30:$AK$436,320),'13 - DATA &amp; LISTS'!$AK$30:$AK$436,0))</f>
        <v>0</v>
      </c>
    </row>
    <row r="329" spans="1:27" ht="63.95" customHeight="1">
      <c r="A329" s="18" t="str">
        <f>IF($AA329=0,"",INDEX('13 - DATA &amp; LISTS'!$Y$30:$Y$436,$AA329))</f>
        <v/>
      </c>
      <c r="B329" s="18" t="str">
        <f>IF($AA329=0,"",INDEX('13 - DATA &amp; LISTS'!$Z$30:$Z$436,$AA329))</f>
        <v/>
      </c>
      <c r="C329" s="18" t="str">
        <f>IF($AA329=0,"",INDEX('13 - DATA &amp; LISTS'!$AA$30:$AA$436,$AA329))</f>
        <v/>
      </c>
      <c r="D329" s="18" t="str">
        <f>IF($AA329=0,"",INDEX('13 - DATA &amp; LISTS'!$AB$30:$AB$436,$AA329))</f>
        <v/>
      </c>
      <c r="E329" s="18" t="str">
        <f>IF($AA329=0,"",INDEX('13 - DATA &amp; LISTS'!$AC$30:$AC$436,$AA329))</f>
        <v/>
      </c>
      <c r="F329" s="18" t="str">
        <f>IF($AA329=0,"",INDEX('13 - DATA &amp; LISTS'!$AD$30:$AD$436,$AA329))</f>
        <v/>
      </c>
      <c r="G329" s="18" t="str">
        <f>IF($AA329=0,"",INDEX('13 - DATA &amp; LISTS'!$AE$30:$AE$436,$AA329))</f>
        <v/>
      </c>
      <c r="H329" s="19" t="str">
        <f>IF($AA329=0,"",INDEX('13 - DATA &amp; LISTS'!$AF$30:$AF$436,$AA329))</f>
        <v/>
      </c>
      <c r="I329" s="18" t="str">
        <f>IF($AA329=0,"",INDEX('13 - DATA &amp; LISTS'!$AG$30:$AG$436,$AA329))</f>
        <v/>
      </c>
      <c r="J329" s="18" t="str">
        <f>IF($AA329=0,"",INDEX('13 - DATA &amp; LISTS'!$AH$30:$AH$436,$AA329))</f>
        <v/>
      </c>
      <c r="K329" s="18" t="str">
        <f>IF($AA329=0,"",INDEX('13 - DATA &amp; LISTS'!$AI$30:$AI$436,$AA329))</f>
        <v/>
      </c>
      <c r="AA329">
        <f>IF(COUNTIF('13 - DATA &amp; LISTS'!$AK$30:$AK$436,"&lt;999999999999")&lt;321,0,MATCH(SMALL('13 - DATA &amp; LISTS'!$AK$30:$AK$436,321),'13 - DATA &amp; LISTS'!$AK$30:$AK$436,0))</f>
        <v>0</v>
      </c>
    </row>
    <row r="330" spans="1:27" ht="63.95" customHeight="1">
      <c r="A330" s="18" t="str">
        <f>IF($AA330=0,"",INDEX('13 - DATA &amp; LISTS'!$Y$30:$Y$436,$AA330))</f>
        <v/>
      </c>
      <c r="B330" s="18" t="str">
        <f>IF($AA330=0,"",INDEX('13 - DATA &amp; LISTS'!$Z$30:$Z$436,$AA330))</f>
        <v/>
      </c>
      <c r="C330" s="18" t="str">
        <f>IF($AA330=0,"",INDEX('13 - DATA &amp; LISTS'!$AA$30:$AA$436,$AA330))</f>
        <v/>
      </c>
      <c r="D330" s="18" t="str">
        <f>IF($AA330=0,"",INDEX('13 - DATA &amp; LISTS'!$AB$30:$AB$436,$AA330))</f>
        <v/>
      </c>
      <c r="E330" s="18" t="str">
        <f>IF($AA330=0,"",INDEX('13 - DATA &amp; LISTS'!$AC$30:$AC$436,$AA330))</f>
        <v/>
      </c>
      <c r="F330" s="18" t="str">
        <f>IF($AA330=0,"",INDEX('13 - DATA &amp; LISTS'!$AD$30:$AD$436,$AA330))</f>
        <v/>
      </c>
      <c r="G330" s="18" t="str">
        <f>IF($AA330=0,"",INDEX('13 - DATA &amp; LISTS'!$AE$30:$AE$436,$AA330))</f>
        <v/>
      </c>
      <c r="H330" s="19" t="str">
        <f>IF($AA330=0,"",INDEX('13 - DATA &amp; LISTS'!$AF$30:$AF$436,$AA330))</f>
        <v/>
      </c>
      <c r="I330" s="18" t="str">
        <f>IF($AA330=0,"",INDEX('13 - DATA &amp; LISTS'!$AG$30:$AG$436,$AA330))</f>
        <v/>
      </c>
      <c r="J330" s="18" t="str">
        <f>IF($AA330=0,"",INDEX('13 - DATA &amp; LISTS'!$AH$30:$AH$436,$AA330))</f>
        <v/>
      </c>
      <c r="K330" s="18" t="str">
        <f>IF($AA330=0,"",INDEX('13 - DATA &amp; LISTS'!$AI$30:$AI$436,$AA330))</f>
        <v/>
      </c>
      <c r="AA330">
        <f>IF(COUNTIF('13 - DATA &amp; LISTS'!$AK$30:$AK$436,"&lt;999999999999")&lt;322,0,MATCH(SMALL('13 - DATA &amp; LISTS'!$AK$30:$AK$436,322),'13 - DATA &amp; LISTS'!$AK$30:$AK$436,0))</f>
        <v>0</v>
      </c>
    </row>
    <row r="331" spans="1:27" ht="63.95" customHeight="1">
      <c r="A331" s="18" t="str">
        <f>IF($AA331=0,"",INDEX('13 - DATA &amp; LISTS'!$Y$30:$Y$436,$AA331))</f>
        <v/>
      </c>
      <c r="B331" s="18" t="str">
        <f>IF($AA331=0,"",INDEX('13 - DATA &amp; LISTS'!$Z$30:$Z$436,$AA331))</f>
        <v/>
      </c>
      <c r="C331" s="18" t="str">
        <f>IF($AA331=0,"",INDEX('13 - DATA &amp; LISTS'!$AA$30:$AA$436,$AA331))</f>
        <v/>
      </c>
      <c r="D331" s="18" t="str">
        <f>IF($AA331=0,"",INDEX('13 - DATA &amp; LISTS'!$AB$30:$AB$436,$AA331))</f>
        <v/>
      </c>
      <c r="E331" s="18" t="str">
        <f>IF($AA331=0,"",INDEX('13 - DATA &amp; LISTS'!$AC$30:$AC$436,$AA331))</f>
        <v/>
      </c>
      <c r="F331" s="18" t="str">
        <f>IF($AA331=0,"",INDEX('13 - DATA &amp; LISTS'!$AD$30:$AD$436,$AA331))</f>
        <v/>
      </c>
      <c r="G331" s="18" t="str">
        <f>IF($AA331=0,"",INDEX('13 - DATA &amp; LISTS'!$AE$30:$AE$436,$AA331))</f>
        <v/>
      </c>
      <c r="H331" s="19" t="str">
        <f>IF($AA331=0,"",INDEX('13 - DATA &amp; LISTS'!$AF$30:$AF$436,$AA331))</f>
        <v/>
      </c>
      <c r="I331" s="18" t="str">
        <f>IF($AA331=0,"",INDEX('13 - DATA &amp; LISTS'!$AG$30:$AG$436,$AA331))</f>
        <v/>
      </c>
      <c r="J331" s="18" t="str">
        <f>IF($AA331=0,"",INDEX('13 - DATA &amp; LISTS'!$AH$30:$AH$436,$AA331))</f>
        <v/>
      </c>
      <c r="K331" s="18" t="str">
        <f>IF($AA331=0,"",INDEX('13 - DATA &amp; LISTS'!$AI$30:$AI$436,$AA331))</f>
        <v/>
      </c>
      <c r="AA331">
        <f>IF(COUNTIF('13 - DATA &amp; LISTS'!$AK$30:$AK$436,"&lt;999999999999")&lt;323,0,MATCH(SMALL('13 - DATA &amp; LISTS'!$AK$30:$AK$436,323),'13 - DATA &amp; LISTS'!$AK$30:$AK$436,0))</f>
        <v>0</v>
      </c>
    </row>
    <row r="332" spans="1:27" ht="63.95" customHeight="1">
      <c r="A332" s="18" t="str">
        <f>IF($AA332=0,"",INDEX('13 - DATA &amp; LISTS'!$Y$30:$Y$436,$AA332))</f>
        <v/>
      </c>
      <c r="B332" s="18" t="str">
        <f>IF($AA332=0,"",INDEX('13 - DATA &amp; LISTS'!$Z$30:$Z$436,$AA332))</f>
        <v/>
      </c>
      <c r="C332" s="18" t="str">
        <f>IF($AA332=0,"",INDEX('13 - DATA &amp; LISTS'!$AA$30:$AA$436,$AA332))</f>
        <v/>
      </c>
      <c r="D332" s="18" t="str">
        <f>IF($AA332=0,"",INDEX('13 - DATA &amp; LISTS'!$AB$30:$AB$436,$AA332))</f>
        <v/>
      </c>
      <c r="E332" s="18" t="str">
        <f>IF($AA332=0,"",INDEX('13 - DATA &amp; LISTS'!$AC$30:$AC$436,$AA332))</f>
        <v/>
      </c>
      <c r="F332" s="18" t="str">
        <f>IF($AA332=0,"",INDEX('13 - DATA &amp; LISTS'!$AD$30:$AD$436,$AA332))</f>
        <v/>
      </c>
      <c r="G332" s="18" t="str">
        <f>IF($AA332=0,"",INDEX('13 - DATA &amp; LISTS'!$AE$30:$AE$436,$AA332))</f>
        <v/>
      </c>
      <c r="H332" s="19" t="str">
        <f>IF($AA332=0,"",INDEX('13 - DATA &amp; LISTS'!$AF$30:$AF$436,$AA332))</f>
        <v/>
      </c>
      <c r="I332" s="18" t="str">
        <f>IF($AA332=0,"",INDEX('13 - DATA &amp; LISTS'!$AG$30:$AG$436,$AA332))</f>
        <v/>
      </c>
      <c r="J332" s="18" t="str">
        <f>IF($AA332=0,"",INDEX('13 - DATA &amp; LISTS'!$AH$30:$AH$436,$AA332))</f>
        <v/>
      </c>
      <c r="K332" s="18" t="str">
        <f>IF($AA332=0,"",INDEX('13 - DATA &amp; LISTS'!$AI$30:$AI$436,$AA332))</f>
        <v/>
      </c>
      <c r="AA332">
        <f>IF(COUNTIF('13 - DATA &amp; LISTS'!$AK$30:$AK$436,"&lt;999999999999")&lt;324,0,MATCH(SMALL('13 - DATA &amp; LISTS'!$AK$30:$AK$436,324),'13 - DATA &amp; LISTS'!$AK$30:$AK$436,0))</f>
        <v>0</v>
      </c>
    </row>
    <row r="333" spans="1:27" ht="63.95" customHeight="1">
      <c r="A333" s="18" t="str">
        <f>IF($AA333=0,"",INDEX('13 - DATA &amp; LISTS'!$Y$30:$Y$436,$AA333))</f>
        <v/>
      </c>
      <c r="B333" s="18" t="str">
        <f>IF($AA333=0,"",INDEX('13 - DATA &amp; LISTS'!$Z$30:$Z$436,$AA333))</f>
        <v/>
      </c>
      <c r="C333" s="18" t="str">
        <f>IF($AA333=0,"",INDEX('13 - DATA &amp; LISTS'!$AA$30:$AA$436,$AA333))</f>
        <v/>
      </c>
      <c r="D333" s="18" t="str">
        <f>IF($AA333=0,"",INDEX('13 - DATA &amp; LISTS'!$AB$30:$AB$436,$AA333))</f>
        <v/>
      </c>
      <c r="E333" s="18" t="str">
        <f>IF($AA333=0,"",INDEX('13 - DATA &amp; LISTS'!$AC$30:$AC$436,$AA333))</f>
        <v/>
      </c>
      <c r="F333" s="18" t="str">
        <f>IF($AA333=0,"",INDEX('13 - DATA &amp; LISTS'!$AD$30:$AD$436,$AA333))</f>
        <v/>
      </c>
      <c r="G333" s="18" t="str">
        <f>IF($AA333=0,"",INDEX('13 - DATA &amp; LISTS'!$AE$30:$AE$436,$AA333))</f>
        <v/>
      </c>
      <c r="H333" s="19" t="str">
        <f>IF($AA333=0,"",INDEX('13 - DATA &amp; LISTS'!$AF$30:$AF$436,$AA333))</f>
        <v/>
      </c>
      <c r="I333" s="18" t="str">
        <f>IF($AA333=0,"",INDEX('13 - DATA &amp; LISTS'!$AG$30:$AG$436,$AA333))</f>
        <v/>
      </c>
      <c r="J333" s="18" t="str">
        <f>IF($AA333=0,"",INDEX('13 - DATA &amp; LISTS'!$AH$30:$AH$436,$AA333))</f>
        <v/>
      </c>
      <c r="K333" s="18" t="str">
        <f>IF($AA333=0,"",INDEX('13 - DATA &amp; LISTS'!$AI$30:$AI$436,$AA333))</f>
        <v/>
      </c>
      <c r="AA333">
        <f>IF(COUNTIF('13 - DATA &amp; LISTS'!$AK$30:$AK$436,"&lt;999999999999")&lt;325,0,MATCH(SMALL('13 - DATA &amp; LISTS'!$AK$30:$AK$436,325),'13 - DATA &amp; LISTS'!$AK$30:$AK$436,0))</f>
        <v>0</v>
      </c>
    </row>
    <row r="334" spans="1:27" ht="63.95" customHeight="1">
      <c r="A334" s="18" t="str">
        <f>IF($AA334=0,"",INDEX('13 - DATA &amp; LISTS'!$Y$30:$Y$436,$AA334))</f>
        <v/>
      </c>
      <c r="B334" s="18" t="str">
        <f>IF($AA334=0,"",INDEX('13 - DATA &amp; LISTS'!$Z$30:$Z$436,$AA334))</f>
        <v/>
      </c>
      <c r="C334" s="18" t="str">
        <f>IF($AA334=0,"",INDEX('13 - DATA &amp; LISTS'!$AA$30:$AA$436,$AA334))</f>
        <v/>
      </c>
      <c r="D334" s="18" t="str">
        <f>IF($AA334=0,"",INDEX('13 - DATA &amp; LISTS'!$AB$30:$AB$436,$AA334))</f>
        <v/>
      </c>
      <c r="E334" s="18" t="str">
        <f>IF($AA334=0,"",INDEX('13 - DATA &amp; LISTS'!$AC$30:$AC$436,$AA334))</f>
        <v/>
      </c>
      <c r="F334" s="18" t="str">
        <f>IF($AA334=0,"",INDEX('13 - DATA &amp; LISTS'!$AD$30:$AD$436,$AA334))</f>
        <v/>
      </c>
      <c r="G334" s="18" t="str">
        <f>IF($AA334=0,"",INDEX('13 - DATA &amp; LISTS'!$AE$30:$AE$436,$AA334))</f>
        <v/>
      </c>
      <c r="H334" s="19" t="str">
        <f>IF($AA334=0,"",INDEX('13 - DATA &amp; LISTS'!$AF$30:$AF$436,$AA334))</f>
        <v/>
      </c>
      <c r="I334" s="18" t="str">
        <f>IF($AA334=0,"",INDEX('13 - DATA &amp; LISTS'!$AG$30:$AG$436,$AA334))</f>
        <v/>
      </c>
      <c r="J334" s="18" t="str">
        <f>IF($AA334=0,"",INDEX('13 - DATA &amp; LISTS'!$AH$30:$AH$436,$AA334))</f>
        <v/>
      </c>
      <c r="K334" s="18" t="str">
        <f>IF($AA334=0,"",INDEX('13 - DATA &amp; LISTS'!$AI$30:$AI$436,$AA334))</f>
        <v/>
      </c>
      <c r="AA334">
        <f>IF(COUNTIF('13 - DATA &amp; LISTS'!$AK$30:$AK$436,"&lt;999999999999")&lt;326,0,MATCH(SMALL('13 - DATA &amp; LISTS'!$AK$30:$AK$436,326),'13 - DATA &amp; LISTS'!$AK$30:$AK$436,0))</f>
        <v>0</v>
      </c>
    </row>
    <row r="335" spans="1:27" ht="63.95" customHeight="1">
      <c r="A335" s="18" t="str">
        <f>IF($AA335=0,"",INDEX('13 - DATA &amp; LISTS'!$Y$30:$Y$436,$AA335))</f>
        <v/>
      </c>
      <c r="B335" s="18" t="str">
        <f>IF($AA335=0,"",INDEX('13 - DATA &amp; LISTS'!$Z$30:$Z$436,$AA335))</f>
        <v/>
      </c>
      <c r="C335" s="18" t="str">
        <f>IF($AA335=0,"",INDEX('13 - DATA &amp; LISTS'!$AA$30:$AA$436,$AA335))</f>
        <v/>
      </c>
      <c r="D335" s="18" t="str">
        <f>IF($AA335=0,"",INDEX('13 - DATA &amp; LISTS'!$AB$30:$AB$436,$AA335))</f>
        <v/>
      </c>
      <c r="E335" s="18" t="str">
        <f>IF($AA335=0,"",INDEX('13 - DATA &amp; LISTS'!$AC$30:$AC$436,$AA335))</f>
        <v/>
      </c>
      <c r="F335" s="18" t="str">
        <f>IF($AA335=0,"",INDEX('13 - DATA &amp; LISTS'!$AD$30:$AD$436,$AA335))</f>
        <v/>
      </c>
      <c r="G335" s="18" t="str">
        <f>IF($AA335=0,"",INDEX('13 - DATA &amp; LISTS'!$AE$30:$AE$436,$AA335))</f>
        <v/>
      </c>
      <c r="H335" s="19" t="str">
        <f>IF($AA335=0,"",INDEX('13 - DATA &amp; LISTS'!$AF$30:$AF$436,$AA335))</f>
        <v/>
      </c>
      <c r="I335" s="18" t="str">
        <f>IF($AA335=0,"",INDEX('13 - DATA &amp; LISTS'!$AG$30:$AG$436,$AA335))</f>
        <v/>
      </c>
      <c r="J335" s="18" t="str">
        <f>IF($AA335=0,"",INDEX('13 - DATA &amp; LISTS'!$AH$30:$AH$436,$AA335))</f>
        <v/>
      </c>
      <c r="K335" s="18" t="str">
        <f>IF($AA335=0,"",INDEX('13 - DATA &amp; LISTS'!$AI$30:$AI$436,$AA335))</f>
        <v/>
      </c>
      <c r="AA335">
        <f>IF(COUNTIF('13 - DATA &amp; LISTS'!$AK$30:$AK$436,"&lt;999999999999")&lt;327,0,MATCH(SMALL('13 - DATA &amp; LISTS'!$AK$30:$AK$436,327),'13 - DATA &amp; LISTS'!$AK$30:$AK$436,0))</f>
        <v>0</v>
      </c>
    </row>
    <row r="336" spans="1:27" ht="63.95" customHeight="1">
      <c r="A336" s="18" t="str">
        <f>IF($AA336=0,"",INDEX('13 - DATA &amp; LISTS'!$Y$30:$Y$436,$AA336))</f>
        <v/>
      </c>
      <c r="B336" s="18" t="str">
        <f>IF($AA336=0,"",INDEX('13 - DATA &amp; LISTS'!$Z$30:$Z$436,$AA336))</f>
        <v/>
      </c>
      <c r="C336" s="18" t="str">
        <f>IF($AA336=0,"",INDEX('13 - DATA &amp; LISTS'!$AA$30:$AA$436,$AA336))</f>
        <v/>
      </c>
      <c r="D336" s="18" t="str">
        <f>IF($AA336=0,"",INDEX('13 - DATA &amp; LISTS'!$AB$30:$AB$436,$AA336))</f>
        <v/>
      </c>
      <c r="E336" s="18" t="str">
        <f>IF($AA336=0,"",INDEX('13 - DATA &amp; LISTS'!$AC$30:$AC$436,$AA336))</f>
        <v/>
      </c>
      <c r="F336" s="18" t="str">
        <f>IF($AA336=0,"",INDEX('13 - DATA &amp; LISTS'!$AD$30:$AD$436,$AA336))</f>
        <v/>
      </c>
      <c r="G336" s="18" t="str">
        <f>IF($AA336=0,"",INDEX('13 - DATA &amp; LISTS'!$AE$30:$AE$436,$AA336))</f>
        <v/>
      </c>
      <c r="H336" s="19" t="str">
        <f>IF($AA336=0,"",INDEX('13 - DATA &amp; LISTS'!$AF$30:$AF$436,$AA336))</f>
        <v/>
      </c>
      <c r="I336" s="18" t="str">
        <f>IF($AA336=0,"",INDEX('13 - DATA &amp; LISTS'!$AG$30:$AG$436,$AA336))</f>
        <v/>
      </c>
      <c r="J336" s="18" t="str">
        <f>IF($AA336=0,"",INDEX('13 - DATA &amp; LISTS'!$AH$30:$AH$436,$AA336))</f>
        <v/>
      </c>
      <c r="K336" s="18" t="str">
        <f>IF($AA336=0,"",INDEX('13 - DATA &amp; LISTS'!$AI$30:$AI$436,$AA336))</f>
        <v/>
      </c>
      <c r="AA336">
        <f>IF(COUNTIF('13 - DATA &amp; LISTS'!$AK$30:$AK$436,"&lt;999999999999")&lt;328,0,MATCH(SMALL('13 - DATA &amp; LISTS'!$AK$30:$AK$436,328),'13 - DATA &amp; LISTS'!$AK$30:$AK$436,0))</f>
        <v>0</v>
      </c>
    </row>
    <row r="337" spans="1:27" ht="63.95" customHeight="1">
      <c r="A337" s="18" t="str">
        <f>IF($AA337=0,"",INDEX('13 - DATA &amp; LISTS'!$Y$30:$Y$436,$AA337))</f>
        <v/>
      </c>
      <c r="B337" s="18" t="str">
        <f>IF($AA337=0,"",INDEX('13 - DATA &amp; LISTS'!$Z$30:$Z$436,$AA337))</f>
        <v/>
      </c>
      <c r="C337" s="18" t="str">
        <f>IF($AA337=0,"",INDEX('13 - DATA &amp; LISTS'!$AA$30:$AA$436,$AA337))</f>
        <v/>
      </c>
      <c r="D337" s="18" t="str">
        <f>IF($AA337=0,"",INDEX('13 - DATA &amp; LISTS'!$AB$30:$AB$436,$AA337))</f>
        <v/>
      </c>
      <c r="E337" s="18" t="str">
        <f>IF($AA337=0,"",INDEX('13 - DATA &amp; LISTS'!$AC$30:$AC$436,$AA337))</f>
        <v/>
      </c>
      <c r="F337" s="18" t="str">
        <f>IF($AA337=0,"",INDEX('13 - DATA &amp; LISTS'!$AD$30:$AD$436,$AA337))</f>
        <v/>
      </c>
      <c r="G337" s="18" t="str">
        <f>IF($AA337=0,"",INDEX('13 - DATA &amp; LISTS'!$AE$30:$AE$436,$AA337))</f>
        <v/>
      </c>
      <c r="H337" s="19" t="str">
        <f>IF($AA337=0,"",INDEX('13 - DATA &amp; LISTS'!$AF$30:$AF$436,$AA337))</f>
        <v/>
      </c>
      <c r="I337" s="18" t="str">
        <f>IF($AA337=0,"",INDEX('13 - DATA &amp; LISTS'!$AG$30:$AG$436,$AA337))</f>
        <v/>
      </c>
      <c r="J337" s="18" t="str">
        <f>IF($AA337=0,"",INDEX('13 - DATA &amp; LISTS'!$AH$30:$AH$436,$AA337))</f>
        <v/>
      </c>
      <c r="K337" s="18" t="str">
        <f>IF($AA337=0,"",INDEX('13 - DATA &amp; LISTS'!$AI$30:$AI$436,$AA337))</f>
        <v/>
      </c>
      <c r="AA337">
        <f>IF(COUNTIF('13 - DATA &amp; LISTS'!$AK$30:$AK$436,"&lt;999999999999")&lt;329,0,MATCH(SMALL('13 - DATA &amp; LISTS'!$AK$30:$AK$436,329),'13 - DATA &amp; LISTS'!$AK$30:$AK$436,0))</f>
        <v>0</v>
      </c>
    </row>
    <row r="338" spans="1:27" ht="63.95" customHeight="1">
      <c r="A338" s="18" t="str">
        <f>IF($AA338=0,"",INDEX('13 - DATA &amp; LISTS'!$Y$30:$Y$436,$AA338))</f>
        <v/>
      </c>
      <c r="B338" s="18" t="str">
        <f>IF($AA338=0,"",INDEX('13 - DATA &amp; LISTS'!$Z$30:$Z$436,$AA338))</f>
        <v/>
      </c>
      <c r="C338" s="18" t="str">
        <f>IF($AA338=0,"",INDEX('13 - DATA &amp; LISTS'!$AA$30:$AA$436,$AA338))</f>
        <v/>
      </c>
      <c r="D338" s="18" t="str">
        <f>IF($AA338=0,"",INDEX('13 - DATA &amp; LISTS'!$AB$30:$AB$436,$AA338))</f>
        <v/>
      </c>
      <c r="E338" s="18" t="str">
        <f>IF($AA338=0,"",INDEX('13 - DATA &amp; LISTS'!$AC$30:$AC$436,$AA338))</f>
        <v/>
      </c>
      <c r="F338" s="18" t="str">
        <f>IF($AA338=0,"",INDEX('13 - DATA &amp; LISTS'!$AD$30:$AD$436,$AA338))</f>
        <v/>
      </c>
      <c r="G338" s="18" t="str">
        <f>IF($AA338=0,"",INDEX('13 - DATA &amp; LISTS'!$AE$30:$AE$436,$AA338))</f>
        <v/>
      </c>
      <c r="H338" s="19" t="str">
        <f>IF($AA338=0,"",INDEX('13 - DATA &amp; LISTS'!$AF$30:$AF$436,$AA338))</f>
        <v/>
      </c>
      <c r="I338" s="18" t="str">
        <f>IF($AA338=0,"",INDEX('13 - DATA &amp; LISTS'!$AG$30:$AG$436,$AA338))</f>
        <v/>
      </c>
      <c r="J338" s="18" t="str">
        <f>IF($AA338=0,"",INDEX('13 - DATA &amp; LISTS'!$AH$30:$AH$436,$AA338))</f>
        <v/>
      </c>
      <c r="K338" s="18" t="str">
        <f>IF($AA338=0,"",INDEX('13 - DATA &amp; LISTS'!$AI$30:$AI$436,$AA338))</f>
        <v/>
      </c>
      <c r="AA338">
        <f>IF(COUNTIF('13 - DATA &amp; LISTS'!$AK$30:$AK$436,"&lt;999999999999")&lt;330,0,MATCH(SMALL('13 - DATA &amp; LISTS'!$AK$30:$AK$436,330),'13 - DATA &amp; LISTS'!$AK$30:$AK$436,0))</f>
        <v>0</v>
      </c>
    </row>
    <row r="339" spans="1:27" ht="63.95" customHeight="1">
      <c r="A339" s="18" t="str">
        <f>IF($AA339=0,"",INDEX('13 - DATA &amp; LISTS'!$Y$30:$Y$436,$AA339))</f>
        <v/>
      </c>
      <c r="B339" s="18" t="str">
        <f>IF($AA339=0,"",INDEX('13 - DATA &amp; LISTS'!$Z$30:$Z$436,$AA339))</f>
        <v/>
      </c>
      <c r="C339" s="18" t="str">
        <f>IF($AA339=0,"",INDEX('13 - DATA &amp; LISTS'!$AA$30:$AA$436,$AA339))</f>
        <v/>
      </c>
      <c r="D339" s="18" t="str">
        <f>IF($AA339=0,"",INDEX('13 - DATA &amp; LISTS'!$AB$30:$AB$436,$AA339))</f>
        <v/>
      </c>
      <c r="E339" s="18" t="str">
        <f>IF($AA339=0,"",INDEX('13 - DATA &amp; LISTS'!$AC$30:$AC$436,$AA339))</f>
        <v/>
      </c>
      <c r="F339" s="18" t="str">
        <f>IF($AA339=0,"",INDEX('13 - DATA &amp; LISTS'!$AD$30:$AD$436,$AA339))</f>
        <v/>
      </c>
      <c r="G339" s="18" t="str">
        <f>IF($AA339=0,"",INDEX('13 - DATA &amp; LISTS'!$AE$30:$AE$436,$AA339))</f>
        <v/>
      </c>
      <c r="H339" s="19" t="str">
        <f>IF($AA339=0,"",INDEX('13 - DATA &amp; LISTS'!$AF$30:$AF$436,$AA339))</f>
        <v/>
      </c>
      <c r="I339" s="18" t="str">
        <f>IF($AA339=0,"",INDEX('13 - DATA &amp; LISTS'!$AG$30:$AG$436,$AA339))</f>
        <v/>
      </c>
      <c r="J339" s="18" t="str">
        <f>IF($AA339=0,"",INDEX('13 - DATA &amp; LISTS'!$AH$30:$AH$436,$AA339))</f>
        <v/>
      </c>
      <c r="K339" s="18" t="str">
        <f>IF($AA339=0,"",INDEX('13 - DATA &amp; LISTS'!$AI$30:$AI$436,$AA339))</f>
        <v/>
      </c>
      <c r="AA339">
        <f>IF(COUNTIF('13 - DATA &amp; LISTS'!$AK$30:$AK$436,"&lt;999999999999")&lt;331,0,MATCH(SMALL('13 - DATA &amp; LISTS'!$AK$30:$AK$436,331),'13 - DATA &amp; LISTS'!$AK$30:$AK$436,0))</f>
        <v>0</v>
      </c>
    </row>
    <row r="340" spans="1:27" ht="63.95" customHeight="1">
      <c r="A340" s="18" t="str">
        <f>IF($AA340=0,"",INDEX('13 - DATA &amp; LISTS'!$Y$30:$Y$436,$AA340))</f>
        <v/>
      </c>
      <c r="B340" s="18" t="str">
        <f>IF($AA340=0,"",INDEX('13 - DATA &amp; LISTS'!$Z$30:$Z$436,$AA340))</f>
        <v/>
      </c>
      <c r="C340" s="18" t="str">
        <f>IF($AA340=0,"",INDEX('13 - DATA &amp; LISTS'!$AA$30:$AA$436,$AA340))</f>
        <v/>
      </c>
      <c r="D340" s="18" t="str">
        <f>IF($AA340=0,"",INDEX('13 - DATA &amp; LISTS'!$AB$30:$AB$436,$AA340))</f>
        <v/>
      </c>
      <c r="E340" s="18" t="str">
        <f>IF($AA340=0,"",INDEX('13 - DATA &amp; LISTS'!$AC$30:$AC$436,$AA340))</f>
        <v/>
      </c>
      <c r="F340" s="18" t="str">
        <f>IF($AA340=0,"",INDEX('13 - DATA &amp; LISTS'!$AD$30:$AD$436,$AA340))</f>
        <v/>
      </c>
      <c r="G340" s="18" t="str">
        <f>IF($AA340=0,"",INDEX('13 - DATA &amp; LISTS'!$AE$30:$AE$436,$AA340))</f>
        <v/>
      </c>
      <c r="H340" s="19" t="str">
        <f>IF($AA340=0,"",INDEX('13 - DATA &amp; LISTS'!$AF$30:$AF$436,$AA340))</f>
        <v/>
      </c>
      <c r="I340" s="18" t="str">
        <f>IF($AA340=0,"",INDEX('13 - DATA &amp; LISTS'!$AG$30:$AG$436,$AA340))</f>
        <v/>
      </c>
      <c r="J340" s="18" t="str">
        <f>IF($AA340=0,"",INDEX('13 - DATA &amp; LISTS'!$AH$30:$AH$436,$AA340))</f>
        <v/>
      </c>
      <c r="K340" s="18" t="str">
        <f>IF($AA340=0,"",INDEX('13 - DATA &amp; LISTS'!$AI$30:$AI$436,$AA340))</f>
        <v/>
      </c>
      <c r="AA340">
        <f>IF(COUNTIF('13 - DATA &amp; LISTS'!$AK$30:$AK$436,"&lt;999999999999")&lt;332,0,MATCH(SMALL('13 - DATA &amp; LISTS'!$AK$30:$AK$436,332),'13 - DATA &amp; LISTS'!$AK$30:$AK$436,0))</f>
        <v>0</v>
      </c>
    </row>
    <row r="341" spans="1:27" ht="63.95" customHeight="1">
      <c r="A341" s="18" t="str">
        <f>IF($AA341=0,"",INDEX('13 - DATA &amp; LISTS'!$Y$30:$Y$436,$AA341))</f>
        <v/>
      </c>
      <c r="B341" s="18" t="str">
        <f>IF($AA341=0,"",INDEX('13 - DATA &amp; LISTS'!$Z$30:$Z$436,$AA341))</f>
        <v/>
      </c>
      <c r="C341" s="18" t="str">
        <f>IF($AA341=0,"",INDEX('13 - DATA &amp; LISTS'!$AA$30:$AA$436,$AA341))</f>
        <v/>
      </c>
      <c r="D341" s="18" t="str">
        <f>IF($AA341=0,"",INDEX('13 - DATA &amp; LISTS'!$AB$30:$AB$436,$AA341))</f>
        <v/>
      </c>
      <c r="E341" s="18" t="str">
        <f>IF($AA341=0,"",INDEX('13 - DATA &amp; LISTS'!$AC$30:$AC$436,$AA341))</f>
        <v/>
      </c>
      <c r="F341" s="18" t="str">
        <f>IF($AA341=0,"",INDEX('13 - DATA &amp; LISTS'!$AD$30:$AD$436,$AA341))</f>
        <v/>
      </c>
      <c r="G341" s="18" t="str">
        <f>IF($AA341=0,"",INDEX('13 - DATA &amp; LISTS'!$AE$30:$AE$436,$AA341))</f>
        <v/>
      </c>
      <c r="H341" s="19" t="str">
        <f>IF($AA341=0,"",INDEX('13 - DATA &amp; LISTS'!$AF$30:$AF$436,$AA341))</f>
        <v/>
      </c>
      <c r="I341" s="18" t="str">
        <f>IF($AA341=0,"",INDEX('13 - DATA &amp; LISTS'!$AG$30:$AG$436,$AA341))</f>
        <v/>
      </c>
      <c r="J341" s="18" t="str">
        <f>IF($AA341=0,"",INDEX('13 - DATA &amp; LISTS'!$AH$30:$AH$436,$AA341))</f>
        <v/>
      </c>
      <c r="K341" s="18" t="str">
        <f>IF($AA341=0,"",INDEX('13 - DATA &amp; LISTS'!$AI$30:$AI$436,$AA341))</f>
        <v/>
      </c>
      <c r="AA341">
        <f>IF(COUNTIF('13 - DATA &amp; LISTS'!$AK$30:$AK$436,"&lt;999999999999")&lt;333,0,MATCH(SMALL('13 - DATA &amp; LISTS'!$AK$30:$AK$436,333),'13 - DATA &amp; LISTS'!$AK$30:$AK$436,0))</f>
        <v>0</v>
      </c>
    </row>
    <row r="342" spans="1:27" ht="63.95" customHeight="1">
      <c r="A342" s="18" t="str">
        <f>IF($AA342=0,"",INDEX('13 - DATA &amp; LISTS'!$Y$30:$Y$436,$AA342))</f>
        <v/>
      </c>
      <c r="B342" s="18" t="str">
        <f>IF($AA342=0,"",INDEX('13 - DATA &amp; LISTS'!$Z$30:$Z$436,$AA342))</f>
        <v/>
      </c>
      <c r="C342" s="18" t="str">
        <f>IF($AA342=0,"",INDEX('13 - DATA &amp; LISTS'!$AA$30:$AA$436,$AA342))</f>
        <v/>
      </c>
      <c r="D342" s="18" t="str">
        <f>IF($AA342=0,"",INDEX('13 - DATA &amp; LISTS'!$AB$30:$AB$436,$AA342))</f>
        <v/>
      </c>
      <c r="E342" s="18" t="str">
        <f>IF($AA342=0,"",INDEX('13 - DATA &amp; LISTS'!$AC$30:$AC$436,$AA342))</f>
        <v/>
      </c>
      <c r="F342" s="18" t="str">
        <f>IF($AA342=0,"",INDEX('13 - DATA &amp; LISTS'!$AD$30:$AD$436,$AA342))</f>
        <v/>
      </c>
      <c r="G342" s="18" t="str">
        <f>IF($AA342=0,"",INDEX('13 - DATA &amp; LISTS'!$AE$30:$AE$436,$AA342))</f>
        <v/>
      </c>
      <c r="H342" s="19" t="str">
        <f>IF($AA342=0,"",INDEX('13 - DATA &amp; LISTS'!$AF$30:$AF$436,$AA342))</f>
        <v/>
      </c>
      <c r="I342" s="18" t="str">
        <f>IF($AA342=0,"",INDEX('13 - DATA &amp; LISTS'!$AG$30:$AG$436,$AA342))</f>
        <v/>
      </c>
      <c r="J342" s="18" t="str">
        <f>IF($AA342=0,"",INDEX('13 - DATA &amp; LISTS'!$AH$30:$AH$436,$AA342))</f>
        <v/>
      </c>
      <c r="K342" s="18" t="str">
        <f>IF($AA342=0,"",INDEX('13 - DATA &amp; LISTS'!$AI$30:$AI$436,$AA342))</f>
        <v/>
      </c>
      <c r="AA342">
        <f>IF(COUNTIF('13 - DATA &amp; LISTS'!$AK$30:$AK$436,"&lt;999999999999")&lt;334,0,MATCH(SMALL('13 - DATA &amp; LISTS'!$AK$30:$AK$436,334),'13 - DATA &amp; LISTS'!$AK$30:$AK$436,0))</f>
        <v>0</v>
      </c>
    </row>
    <row r="343" spans="1:27" ht="63.95" customHeight="1">
      <c r="A343" s="18" t="str">
        <f>IF($AA343=0,"",INDEX('13 - DATA &amp; LISTS'!$Y$30:$Y$436,$AA343))</f>
        <v/>
      </c>
      <c r="B343" s="18" t="str">
        <f>IF($AA343=0,"",INDEX('13 - DATA &amp; LISTS'!$Z$30:$Z$436,$AA343))</f>
        <v/>
      </c>
      <c r="C343" s="18" t="str">
        <f>IF($AA343=0,"",INDEX('13 - DATA &amp; LISTS'!$AA$30:$AA$436,$AA343))</f>
        <v/>
      </c>
      <c r="D343" s="18" t="str">
        <f>IF($AA343=0,"",INDEX('13 - DATA &amp; LISTS'!$AB$30:$AB$436,$AA343))</f>
        <v/>
      </c>
      <c r="E343" s="18" t="str">
        <f>IF($AA343=0,"",INDEX('13 - DATA &amp; LISTS'!$AC$30:$AC$436,$AA343))</f>
        <v/>
      </c>
      <c r="F343" s="18" t="str">
        <f>IF($AA343=0,"",INDEX('13 - DATA &amp; LISTS'!$AD$30:$AD$436,$AA343))</f>
        <v/>
      </c>
      <c r="G343" s="18" t="str">
        <f>IF($AA343=0,"",INDEX('13 - DATA &amp; LISTS'!$AE$30:$AE$436,$AA343))</f>
        <v/>
      </c>
      <c r="H343" s="19" t="str">
        <f>IF($AA343=0,"",INDEX('13 - DATA &amp; LISTS'!$AF$30:$AF$436,$AA343))</f>
        <v/>
      </c>
      <c r="I343" s="18" t="str">
        <f>IF($AA343=0,"",INDEX('13 - DATA &amp; LISTS'!$AG$30:$AG$436,$AA343))</f>
        <v/>
      </c>
      <c r="J343" s="18" t="str">
        <f>IF($AA343=0,"",INDEX('13 - DATA &amp; LISTS'!$AH$30:$AH$436,$AA343))</f>
        <v/>
      </c>
      <c r="K343" s="18" t="str">
        <f>IF($AA343=0,"",INDEX('13 - DATA &amp; LISTS'!$AI$30:$AI$436,$AA343))</f>
        <v/>
      </c>
      <c r="AA343">
        <f>IF(COUNTIF('13 - DATA &amp; LISTS'!$AK$30:$AK$436,"&lt;999999999999")&lt;335,0,MATCH(SMALL('13 - DATA &amp; LISTS'!$AK$30:$AK$436,335),'13 - DATA &amp; LISTS'!$AK$30:$AK$436,0))</f>
        <v>0</v>
      </c>
    </row>
    <row r="344" spans="1:27" ht="63.95" customHeight="1">
      <c r="A344" s="18" t="str">
        <f>IF($AA344=0,"",INDEX('13 - DATA &amp; LISTS'!$Y$30:$Y$436,$AA344))</f>
        <v/>
      </c>
      <c r="B344" s="18" t="str">
        <f>IF($AA344=0,"",INDEX('13 - DATA &amp; LISTS'!$Z$30:$Z$436,$AA344))</f>
        <v/>
      </c>
      <c r="C344" s="18" t="str">
        <f>IF($AA344=0,"",INDEX('13 - DATA &amp; LISTS'!$AA$30:$AA$436,$AA344))</f>
        <v/>
      </c>
      <c r="D344" s="18" t="str">
        <f>IF($AA344=0,"",INDEX('13 - DATA &amp; LISTS'!$AB$30:$AB$436,$AA344))</f>
        <v/>
      </c>
      <c r="E344" s="18" t="str">
        <f>IF($AA344=0,"",INDEX('13 - DATA &amp; LISTS'!$AC$30:$AC$436,$AA344))</f>
        <v/>
      </c>
      <c r="F344" s="18" t="str">
        <f>IF($AA344=0,"",INDEX('13 - DATA &amp; LISTS'!$AD$30:$AD$436,$AA344))</f>
        <v/>
      </c>
      <c r="G344" s="18" t="str">
        <f>IF($AA344=0,"",INDEX('13 - DATA &amp; LISTS'!$AE$30:$AE$436,$AA344))</f>
        <v/>
      </c>
      <c r="H344" s="19" t="str">
        <f>IF($AA344=0,"",INDEX('13 - DATA &amp; LISTS'!$AF$30:$AF$436,$AA344))</f>
        <v/>
      </c>
      <c r="I344" s="18" t="str">
        <f>IF($AA344=0,"",INDEX('13 - DATA &amp; LISTS'!$AG$30:$AG$436,$AA344))</f>
        <v/>
      </c>
      <c r="J344" s="18" t="str">
        <f>IF($AA344=0,"",INDEX('13 - DATA &amp; LISTS'!$AH$30:$AH$436,$AA344))</f>
        <v/>
      </c>
      <c r="K344" s="18" t="str">
        <f>IF($AA344=0,"",INDEX('13 - DATA &amp; LISTS'!$AI$30:$AI$436,$AA344))</f>
        <v/>
      </c>
      <c r="AA344">
        <f>IF(COUNTIF('13 - DATA &amp; LISTS'!$AK$30:$AK$436,"&lt;999999999999")&lt;336,0,MATCH(SMALL('13 - DATA &amp; LISTS'!$AK$30:$AK$436,336),'13 - DATA &amp; LISTS'!$AK$30:$AK$436,0))</f>
        <v>0</v>
      </c>
    </row>
    <row r="345" spans="1:27" ht="63.95" customHeight="1">
      <c r="A345" s="18" t="str">
        <f>IF($AA345=0,"",INDEX('13 - DATA &amp; LISTS'!$Y$30:$Y$436,$AA345))</f>
        <v/>
      </c>
      <c r="B345" s="18" t="str">
        <f>IF($AA345=0,"",INDEX('13 - DATA &amp; LISTS'!$Z$30:$Z$436,$AA345))</f>
        <v/>
      </c>
      <c r="C345" s="18" t="str">
        <f>IF($AA345=0,"",INDEX('13 - DATA &amp; LISTS'!$AA$30:$AA$436,$AA345))</f>
        <v/>
      </c>
      <c r="D345" s="18" t="str">
        <f>IF($AA345=0,"",INDEX('13 - DATA &amp; LISTS'!$AB$30:$AB$436,$AA345))</f>
        <v/>
      </c>
      <c r="E345" s="18" t="str">
        <f>IF($AA345=0,"",INDEX('13 - DATA &amp; LISTS'!$AC$30:$AC$436,$AA345))</f>
        <v/>
      </c>
      <c r="F345" s="18" t="str">
        <f>IF($AA345=0,"",INDEX('13 - DATA &amp; LISTS'!$AD$30:$AD$436,$AA345))</f>
        <v/>
      </c>
      <c r="G345" s="18" t="str">
        <f>IF($AA345=0,"",INDEX('13 - DATA &amp; LISTS'!$AE$30:$AE$436,$AA345))</f>
        <v/>
      </c>
      <c r="H345" s="19" t="str">
        <f>IF($AA345=0,"",INDEX('13 - DATA &amp; LISTS'!$AF$30:$AF$436,$AA345))</f>
        <v/>
      </c>
      <c r="I345" s="18" t="str">
        <f>IF($AA345=0,"",INDEX('13 - DATA &amp; LISTS'!$AG$30:$AG$436,$AA345))</f>
        <v/>
      </c>
      <c r="J345" s="18" t="str">
        <f>IF($AA345=0,"",INDEX('13 - DATA &amp; LISTS'!$AH$30:$AH$436,$AA345))</f>
        <v/>
      </c>
      <c r="K345" s="18" t="str">
        <f>IF($AA345=0,"",INDEX('13 - DATA &amp; LISTS'!$AI$30:$AI$436,$AA345))</f>
        <v/>
      </c>
      <c r="AA345">
        <f>IF(COUNTIF('13 - DATA &amp; LISTS'!$AK$30:$AK$436,"&lt;999999999999")&lt;337,0,MATCH(SMALL('13 - DATA &amp; LISTS'!$AK$30:$AK$436,337),'13 - DATA &amp; LISTS'!$AK$30:$AK$436,0))</f>
        <v>0</v>
      </c>
    </row>
    <row r="346" spans="1:27" ht="63.95" customHeight="1">
      <c r="A346" s="18" t="str">
        <f>IF($AA346=0,"",INDEX('13 - DATA &amp; LISTS'!$Y$30:$Y$436,$AA346))</f>
        <v/>
      </c>
      <c r="B346" s="18" t="str">
        <f>IF($AA346=0,"",INDEX('13 - DATA &amp; LISTS'!$Z$30:$Z$436,$AA346))</f>
        <v/>
      </c>
      <c r="C346" s="18" t="str">
        <f>IF($AA346=0,"",INDEX('13 - DATA &amp; LISTS'!$AA$30:$AA$436,$AA346))</f>
        <v/>
      </c>
      <c r="D346" s="18" t="str">
        <f>IF($AA346=0,"",INDEX('13 - DATA &amp; LISTS'!$AB$30:$AB$436,$AA346))</f>
        <v/>
      </c>
      <c r="E346" s="18" t="str">
        <f>IF($AA346=0,"",INDEX('13 - DATA &amp; LISTS'!$AC$30:$AC$436,$AA346))</f>
        <v/>
      </c>
      <c r="F346" s="18" t="str">
        <f>IF($AA346=0,"",INDEX('13 - DATA &amp; LISTS'!$AD$30:$AD$436,$AA346))</f>
        <v/>
      </c>
      <c r="G346" s="18" t="str">
        <f>IF($AA346=0,"",INDEX('13 - DATA &amp; LISTS'!$AE$30:$AE$436,$AA346))</f>
        <v/>
      </c>
      <c r="H346" s="19" t="str">
        <f>IF($AA346=0,"",INDEX('13 - DATA &amp; LISTS'!$AF$30:$AF$436,$AA346))</f>
        <v/>
      </c>
      <c r="I346" s="18" t="str">
        <f>IF($AA346=0,"",INDEX('13 - DATA &amp; LISTS'!$AG$30:$AG$436,$AA346))</f>
        <v/>
      </c>
      <c r="J346" s="18" t="str">
        <f>IF($AA346=0,"",INDEX('13 - DATA &amp; LISTS'!$AH$30:$AH$436,$AA346))</f>
        <v/>
      </c>
      <c r="K346" s="18" t="str">
        <f>IF($AA346=0,"",INDEX('13 - DATA &amp; LISTS'!$AI$30:$AI$436,$AA346))</f>
        <v/>
      </c>
      <c r="AA346">
        <f>IF(COUNTIF('13 - DATA &amp; LISTS'!$AK$30:$AK$436,"&lt;999999999999")&lt;338,0,MATCH(SMALL('13 - DATA &amp; LISTS'!$AK$30:$AK$436,338),'13 - DATA &amp; LISTS'!$AK$30:$AK$436,0))</f>
        <v>0</v>
      </c>
    </row>
    <row r="347" spans="1:27" ht="63.95" customHeight="1">
      <c r="A347" s="18" t="str">
        <f>IF($AA347=0,"",INDEX('13 - DATA &amp; LISTS'!$Y$30:$Y$436,$AA347))</f>
        <v/>
      </c>
      <c r="B347" s="18" t="str">
        <f>IF($AA347=0,"",INDEX('13 - DATA &amp; LISTS'!$Z$30:$Z$436,$AA347))</f>
        <v/>
      </c>
      <c r="C347" s="18" t="str">
        <f>IF($AA347=0,"",INDEX('13 - DATA &amp; LISTS'!$AA$30:$AA$436,$AA347))</f>
        <v/>
      </c>
      <c r="D347" s="18" t="str">
        <f>IF($AA347=0,"",INDEX('13 - DATA &amp; LISTS'!$AB$30:$AB$436,$AA347))</f>
        <v/>
      </c>
      <c r="E347" s="18" t="str">
        <f>IF($AA347=0,"",INDEX('13 - DATA &amp; LISTS'!$AC$30:$AC$436,$AA347))</f>
        <v/>
      </c>
      <c r="F347" s="18" t="str">
        <f>IF($AA347=0,"",INDEX('13 - DATA &amp; LISTS'!$AD$30:$AD$436,$AA347))</f>
        <v/>
      </c>
      <c r="G347" s="18" t="str">
        <f>IF($AA347=0,"",INDEX('13 - DATA &amp; LISTS'!$AE$30:$AE$436,$AA347))</f>
        <v/>
      </c>
      <c r="H347" s="19" t="str">
        <f>IF($AA347=0,"",INDEX('13 - DATA &amp; LISTS'!$AF$30:$AF$436,$AA347))</f>
        <v/>
      </c>
      <c r="I347" s="18" t="str">
        <f>IF($AA347=0,"",INDEX('13 - DATA &amp; LISTS'!$AG$30:$AG$436,$AA347))</f>
        <v/>
      </c>
      <c r="J347" s="18" t="str">
        <f>IF($AA347=0,"",INDEX('13 - DATA &amp; LISTS'!$AH$30:$AH$436,$AA347))</f>
        <v/>
      </c>
      <c r="K347" s="18" t="str">
        <f>IF($AA347=0,"",INDEX('13 - DATA &amp; LISTS'!$AI$30:$AI$436,$AA347))</f>
        <v/>
      </c>
      <c r="AA347">
        <f>IF(COUNTIF('13 - DATA &amp; LISTS'!$AK$30:$AK$436,"&lt;999999999999")&lt;339,0,MATCH(SMALL('13 - DATA &amp; LISTS'!$AK$30:$AK$436,339),'13 - DATA &amp; LISTS'!$AK$30:$AK$436,0))</f>
        <v>0</v>
      </c>
    </row>
    <row r="348" spans="1:27" ht="63.95" customHeight="1">
      <c r="A348" s="18" t="str">
        <f>IF($AA348=0,"",INDEX('13 - DATA &amp; LISTS'!$Y$30:$Y$436,$AA348))</f>
        <v/>
      </c>
      <c r="B348" s="18" t="str">
        <f>IF($AA348=0,"",INDEX('13 - DATA &amp; LISTS'!$Z$30:$Z$436,$AA348))</f>
        <v/>
      </c>
      <c r="C348" s="18" t="str">
        <f>IF($AA348=0,"",INDEX('13 - DATA &amp; LISTS'!$AA$30:$AA$436,$AA348))</f>
        <v/>
      </c>
      <c r="D348" s="18" t="str">
        <f>IF($AA348=0,"",INDEX('13 - DATA &amp; LISTS'!$AB$30:$AB$436,$AA348))</f>
        <v/>
      </c>
      <c r="E348" s="18" t="str">
        <f>IF($AA348=0,"",INDEX('13 - DATA &amp; LISTS'!$AC$30:$AC$436,$AA348))</f>
        <v/>
      </c>
      <c r="F348" s="18" t="str">
        <f>IF($AA348=0,"",INDEX('13 - DATA &amp; LISTS'!$AD$30:$AD$436,$AA348))</f>
        <v/>
      </c>
      <c r="G348" s="18" t="str">
        <f>IF($AA348=0,"",INDEX('13 - DATA &amp; LISTS'!$AE$30:$AE$436,$AA348))</f>
        <v/>
      </c>
      <c r="H348" s="19" t="str">
        <f>IF($AA348=0,"",INDEX('13 - DATA &amp; LISTS'!$AF$30:$AF$436,$AA348))</f>
        <v/>
      </c>
      <c r="I348" s="18" t="str">
        <f>IF($AA348=0,"",INDEX('13 - DATA &amp; LISTS'!$AG$30:$AG$436,$AA348))</f>
        <v/>
      </c>
      <c r="J348" s="18" t="str">
        <f>IF($AA348=0,"",INDEX('13 - DATA &amp; LISTS'!$AH$30:$AH$436,$AA348))</f>
        <v/>
      </c>
      <c r="K348" s="18" t="str">
        <f>IF($AA348=0,"",INDEX('13 - DATA &amp; LISTS'!$AI$30:$AI$436,$AA348))</f>
        <v/>
      </c>
      <c r="AA348">
        <f>IF(COUNTIF('13 - DATA &amp; LISTS'!$AK$30:$AK$436,"&lt;999999999999")&lt;340,0,MATCH(SMALL('13 - DATA &amp; LISTS'!$AK$30:$AK$436,340),'13 - DATA &amp; LISTS'!$AK$30:$AK$436,0))</f>
        <v>0</v>
      </c>
    </row>
    <row r="349" spans="1:27" ht="63.95" customHeight="1">
      <c r="A349" s="18" t="str">
        <f>IF($AA349=0,"",INDEX('13 - DATA &amp; LISTS'!$Y$30:$Y$436,$AA349))</f>
        <v/>
      </c>
      <c r="B349" s="18" t="str">
        <f>IF($AA349=0,"",INDEX('13 - DATA &amp; LISTS'!$Z$30:$Z$436,$AA349))</f>
        <v/>
      </c>
      <c r="C349" s="18" t="str">
        <f>IF($AA349=0,"",INDEX('13 - DATA &amp; LISTS'!$AA$30:$AA$436,$AA349))</f>
        <v/>
      </c>
      <c r="D349" s="18" t="str">
        <f>IF($AA349=0,"",INDEX('13 - DATA &amp; LISTS'!$AB$30:$AB$436,$AA349))</f>
        <v/>
      </c>
      <c r="E349" s="18" t="str">
        <f>IF($AA349=0,"",INDEX('13 - DATA &amp; LISTS'!$AC$30:$AC$436,$AA349))</f>
        <v/>
      </c>
      <c r="F349" s="18" t="str">
        <f>IF($AA349=0,"",INDEX('13 - DATA &amp; LISTS'!$AD$30:$AD$436,$AA349))</f>
        <v/>
      </c>
      <c r="G349" s="18" t="str">
        <f>IF($AA349=0,"",INDEX('13 - DATA &amp; LISTS'!$AE$30:$AE$436,$AA349))</f>
        <v/>
      </c>
      <c r="H349" s="19" t="str">
        <f>IF($AA349=0,"",INDEX('13 - DATA &amp; LISTS'!$AF$30:$AF$436,$AA349))</f>
        <v/>
      </c>
      <c r="I349" s="18" t="str">
        <f>IF($AA349=0,"",INDEX('13 - DATA &amp; LISTS'!$AG$30:$AG$436,$AA349))</f>
        <v/>
      </c>
      <c r="J349" s="18" t="str">
        <f>IF($AA349=0,"",INDEX('13 - DATA &amp; LISTS'!$AH$30:$AH$436,$AA349))</f>
        <v/>
      </c>
      <c r="K349" s="18" t="str">
        <f>IF($AA349=0,"",INDEX('13 - DATA &amp; LISTS'!$AI$30:$AI$436,$AA349))</f>
        <v/>
      </c>
      <c r="AA349">
        <f>IF(COUNTIF('13 - DATA &amp; LISTS'!$AK$30:$AK$436,"&lt;999999999999")&lt;341,0,MATCH(SMALL('13 - DATA &amp; LISTS'!$AK$30:$AK$436,341),'13 - DATA &amp; LISTS'!$AK$30:$AK$436,0))</f>
        <v>0</v>
      </c>
    </row>
    <row r="350" spans="1:27" ht="63.95" customHeight="1">
      <c r="A350" s="18" t="str">
        <f>IF($AA350=0,"",INDEX('13 - DATA &amp; LISTS'!$Y$30:$Y$436,$AA350))</f>
        <v/>
      </c>
      <c r="B350" s="18" t="str">
        <f>IF($AA350=0,"",INDEX('13 - DATA &amp; LISTS'!$Z$30:$Z$436,$AA350))</f>
        <v/>
      </c>
      <c r="C350" s="18" t="str">
        <f>IF($AA350=0,"",INDEX('13 - DATA &amp; LISTS'!$AA$30:$AA$436,$AA350))</f>
        <v/>
      </c>
      <c r="D350" s="18" t="str">
        <f>IF($AA350=0,"",INDEX('13 - DATA &amp; LISTS'!$AB$30:$AB$436,$AA350))</f>
        <v/>
      </c>
      <c r="E350" s="18" t="str">
        <f>IF($AA350=0,"",INDEX('13 - DATA &amp; LISTS'!$AC$30:$AC$436,$AA350))</f>
        <v/>
      </c>
      <c r="F350" s="18" t="str">
        <f>IF($AA350=0,"",INDEX('13 - DATA &amp; LISTS'!$AD$30:$AD$436,$AA350))</f>
        <v/>
      </c>
      <c r="G350" s="18" t="str">
        <f>IF($AA350=0,"",INDEX('13 - DATA &amp; LISTS'!$AE$30:$AE$436,$AA350))</f>
        <v/>
      </c>
      <c r="H350" s="19" t="str">
        <f>IF($AA350=0,"",INDEX('13 - DATA &amp; LISTS'!$AF$30:$AF$436,$AA350))</f>
        <v/>
      </c>
      <c r="I350" s="18" t="str">
        <f>IF($AA350=0,"",INDEX('13 - DATA &amp; LISTS'!$AG$30:$AG$436,$AA350))</f>
        <v/>
      </c>
      <c r="J350" s="18" t="str">
        <f>IF($AA350=0,"",INDEX('13 - DATA &amp; LISTS'!$AH$30:$AH$436,$AA350))</f>
        <v/>
      </c>
      <c r="K350" s="18" t="str">
        <f>IF($AA350=0,"",INDEX('13 - DATA &amp; LISTS'!$AI$30:$AI$436,$AA350))</f>
        <v/>
      </c>
      <c r="AA350">
        <f>IF(COUNTIF('13 - DATA &amp; LISTS'!$AK$30:$AK$436,"&lt;999999999999")&lt;342,0,MATCH(SMALL('13 - DATA &amp; LISTS'!$AK$30:$AK$436,342),'13 - DATA &amp; LISTS'!$AK$30:$AK$436,0))</f>
        <v>0</v>
      </c>
    </row>
    <row r="351" spans="1:27" ht="63.95" customHeight="1">
      <c r="A351" s="18" t="str">
        <f>IF($AA351=0,"",INDEX('13 - DATA &amp; LISTS'!$Y$30:$Y$436,$AA351))</f>
        <v/>
      </c>
      <c r="B351" s="18" t="str">
        <f>IF($AA351=0,"",INDEX('13 - DATA &amp; LISTS'!$Z$30:$Z$436,$AA351))</f>
        <v/>
      </c>
      <c r="C351" s="18" t="str">
        <f>IF($AA351=0,"",INDEX('13 - DATA &amp; LISTS'!$AA$30:$AA$436,$AA351))</f>
        <v/>
      </c>
      <c r="D351" s="18" t="str">
        <f>IF($AA351=0,"",INDEX('13 - DATA &amp; LISTS'!$AB$30:$AB$436,$AA351))</f>
        <v/>
      </c>
      <c r="E351" s="18" t="str">
        <f>IF($AA351=0,"",INDEX('13 - DATA &amp; LISTS'!$AC$30:$AC$436,$AA351))</f>
        <v/>
      </c>
      <c r="F351" s="18" t="str">
        <f>IF($AA351=0,"",INDEX('13 - DATA &amp; LISTS'!$AD$30:$AD$436,$AA351))</f>
        <v/>
      </c>
      <c r="G351" s="18" t="str">
        <f>IF($AA351=0,"",INDEX('13 - DATA &amp; LISTS'!$AE$30:$AE$436,$AA351))</f>
        <v/>
      </c>
      <c r="H351" s="19" t="str">
        <f>IF($AA351=0,"",INDEX('13 - DATA &amp; LISTS'!$AF$30:$AF$436,$AA351))</f>
        <v/>
      </c>
      <c r="I351" s="18" t="str">
        <f>IF($AA351=0,"",INDEX('13 - DATA &amp; LISTS'!$AG$30:$AG$436,$AA351))</f>
        <v/>
      </c>
      <c r="J351" s="18" t="str">
        <f>IF($AA351=0,"",INDEX('13 - DATA &amp; LISTS'!$AH$30:$AH$436,$AA351))</f>
        <v/>
      </c>
      <c r="K351" s="18" t="str">
        <f>IF($AA351=0,"",INDEX('13 - DATA &amp; LISTS'!$AI$30:$AI$436,$AA351))</f>
        <v/>
      </c>
      <c r="AA351">
        <f>IF(COUNTIF('13 - DATA &amp; LISTS'!$AK$30:$AK$436,"&lt;999999999999")&lt;343,0,MATCH(SMALL('13 - DATA &amp; LISTS'!$AK$30:$AK$436,343),'13 - DATA &amp; LISTS'!$AK$30:$AK$436,0))</f>
        <v>0</v>
      </c>
    </row>
    <row r="352" spans="1:27" ht="63.95" customHeight="1">
      <c r="A352" s="18" t="str">
        <f>IF($AA352=0,"",INDEX('13 - DATA &amp; LISTS'!$Y$30:$Y$436,$AA352))</f>
        <v/>
      </c>
      <c r="B352" s="18" t="str">
        <f>IF($AA352=0,"",INDEX('13 - DATA &amp; LISTS'!$Z$30:$Z$436,$AA352))</f>
        <v/>
      </c>
      <c r="C352" s="18" t="str">
        <f>IF($AA352=0,"",INDEX('13 - DATA &amp; LISTS'!$AA$30:$AA$436,$AA352))</f>
        <v/>
      </c>
      <c r="D352" s="18" t="str">
        <f>IF($AA352=0,"",INDEX('13 - DATA &amp; LISTS'!$AB$30:$AB$436,$AA352))</f>
        <v/>
      </c>
      <c r="E352" s="18" t="str">
        <f>IF($AA352=0,"",INDEX('13 - DATA &amp; LISTS'!$AC$30:$AC$436,$AA352))</f>
        <v/>
      </c>
      <c r="F352" s="18" t="str">
        <f>IF($AA352=0,"",INDEX('13 - DATA &amp; LISTS'!$AD$30:$AD$436,$AA352))</f>
        <v/>
      </c>
      <c r="G352" s="18" t="str">
        <f>IF($AA352=0,"",INDEX('13 - DATA &amp; LISTS'!$AE$30:$AE$436,$AA352))</f>
        <v/>
      </c>
      <c r="H352" s="19" t="str">
        <f>IF($AA352=0,"",INDEX('13 - DATA &amp; LISTS'!$AF$30:$AF$436,$AA352))</f>
        <v/>
      </c>
      <c r="I352" s="18" t="str">
        <f>IF($AA352=0,"",INDEX('13 - DATA &amp; LISTS'!$AG$30:$AG$436,$AA352))</f>
        <v/>
      </c>
      <c r="J352" s="18" t="str">
        <f>IF($AA352=0,"",INDEX('13 - DATA &amp; LISTS'!$AH$30:$AH$436,$AA352))</f>
        <v/>
      </c>
      <c r="K352" s="18" t="str">
        <f>IF($AA352=0,"",INDEX('13 - DATA &amp; LISTS'!$AI$30:$AI$436,$AA352))</f>
        <v/>
      </c>
      <c r="AA352">
        <f>IF(COUNTIF('13 - DATA &amp; LISTS'!$AK$30:$AK$436,"&lt;999999999999")&lt;344,0,MATCH(SMALL('13 - DATA &amp; LISTS'!$AK$30:$AK$436,344),'13 - DATA &amp; LISTS'!$AK$30:$AK$436,0))</f>
        <v>0</v>
      </c>
    </row>
    <row r="353" spans="1:27" ht="63.95" customHeight="1">
      <c r="A353" s="18" t="str">
        <f>IF($AA353=0,"",INDEX('13 - DATA &amp; LISTS'!$Y$30:$Y$436,$AA353))</f>
        <v/>
      </c>
      <c r="B353" s="18" t="str">
        <f>IF($AA353=0,"",INDEX('13 - DATA &amp; LISTS'!$Z$30:$Z$436,$AA353))</f>
        <v/>
      </c>
      <c r="C353" s="18" t="str">
        <f>IF($AA353=0,"",INDEX('13 - DATA &amp; LISTS'!$AA$30:$AA$436,$AA353))</f>
        <v/>
      </c>
      <c r="D353" s="18" t="str">
        <f>IF($AA353=0,"",INDEX('13 - DATA &amp; LISTS'!$AB$30:$AB$436,$AA353))</f>
        <v/>
      </c>
      <c r="E353" s="18" t="str">
        <f>IF($AA353=0,"",INDEX('13 - DATA &amp; LISTS'!$AC$30:$AC$436,$AA353))</f>
        <v/>
      </c>
      <c r="F353" s="18" t="str">
        <f>IF($AA353=0,"",INDEX('13 - DATA &amp; LISTS'!$AD$30:$AD$436,$AA353))</f>
        <v/>
      </c>
      <c r="G353" s="18" t="str">
        <f>IF($AA353=0,"",INDEX('13 - DATA &amp; LISTS'!$AE$30:$AE$436,$AA353))</f>
        <v/>
      </c>
      <c r="H353" s="19" t="str">
        <f>IF($AA353=0,"",INDEX('13 - DATA &amp; LISTS'!$AF$30:$AF$436,$AA353))</f>
        <v/>
      </c>
      <c r="I353" s="18" t="str">
        <f>IF($AA353=0,"",INDEX('13 - DATA &amp; LISTS'!$AG$30:$AG$436,$AA353))</f>
        <v/>
      </c>
      <c r="J353" s="18" t="str">
        <f>IF($AA353=0,"",INDEX('13 - DATA &amp; LISTS'!$AH$30:$AH$436,$AA353))</f>
        <v/>
      </c>
      <c r="K353" s="18" t="str">
        <f>IF($AA353=0,"",INDEX('13 - DATA &amp; LISTS'!$AI$30:$AI$436,$AA353))</f>
        <v/>
      </c>
      <c r="AA353">
        <f>IF(COUNTIF('13 - DATA &amp; LISTS'!$AK$30:$AK$436,"&lt;999999999999")&lt;345,0,MATCH(SMALL('13 - DATA &amp; LISTS'!$AK$30:$AK$436,345),'13 - DATA &amp; LISTS'!$AK$30:$AK$436,0))</f>
        <v>0</v>
      </c>
    </row>
    <row r="354" spans="1:27" ht="63.95" customHeight="1">
      <c r="A354" s="18" t="str">
        <f>IF($AA354=0,"",INDEX('13 - DATA &amp; LISTS'!$Y$30:$Y$436,$AA354))</f>
        <v/>
      </c>
      <c r="B354" s="18" t="str">
        <f>IF($AA354=0,"",INDEX('13 - DATA &amp; LISTS'!$Z$30:$Z$436,$AA354))</f>
        <v/>
      </c>
      <c r="C354" s="18" t="str">
        <f>IF($AA354=0,"",INDEX('13 - DATA &amp; LISTS'!$AA$30:$AA$436,$AA354))</f>
        <v/>
      </c>
      <c r="D354" s="18" t="str">
        <f>IF($AA354=0,"",INDEX('13 - DATA &amp; LISTS'!$AB$30:$AB$436,$AA354))</f>
        <v/>
      </c>
      <c r="E354" s="18" t="str">
        <f>IF($AA354=0,"",INDEX('13 - DATA &amp; LISTS'!$AC$30:$AC$436,$AA354))</f>
        <v/>
      </c>
      <c r="F354" s="18" t="str">
        <f>IF($AA354=0,"",INDEX('13 - DATA &amp; LISTS'!$AD$30:$AD$436,$AA354))</f>
        <v/>
      </c>
      <c r="G354" s="18" t="str">
        <f>IF($AA354=0,"",INDEX('13 - DATA &amp; LISTS'!$AE$30:$AE$436,$AA354))</f>
        <v/>
      </c>
      <c r="H354" s="19" t="str">
        <f>IF($AA354=0,"",INDEX('13 - DATA &amp; LISTS'!$AF$30:$AF$436,$AA354))</f>
        <v/>
      </c>
      <c r="I354" s="18" t="str">
        <f>IF($AA354=0,"",INDEX('13 - DATA &amp; LISTS'!$AG$30:$AG$436,$AA354))</f>
        <v/>
      </c>
      <c r="J354" s="18" t="str">
        <f>IF($AA354=0,"",INDEX('13 - DATA &amp; LISTS'!$AH$30:$AH$436,$AA354))</f>
        <v/>
      </c>
      <c r="K354" s="18" t="str">
        <f>IF($AA354=0,"",INDEX('13 - DATA &amp; LISTS'!$AI$30:$AI$436,$AA354))</f>
        <v/>
      </c>
      <c r="AA354">
        <f>IF(COUNTIF('13 - DATA &amp; LISTS'!$AK$30:$AK$436,"&lt;999999999999")&lt;346,0,MATCH(SMALL('13 - DATA &amp; LISTS'!$AK$30:$AK$436,346),'13 - DATA &amp; LISTS'!$AK$30:$AK$436,0))</f>
        <v>0</v>
      </c>
    </row>
    <row r="355" spans="1:27" ht="63.95" customHeight="1">
      <c r="A355" s="18" t="str">
        <f>IF($AA355=0,"",INDEX('13 - DATA &amp; LISTS'!$Y$30:$Y$436,$AA355))</f>
        <v/>
      </c>
      <c r="B355" s="18" t="str">
        <f>IF($AA355=0,"",INDEX('13 - DATA &amp; LISTS'!$Z$30:$Z$436,$AA355))</f>
        <v/>
      </c>
      <c r="C355" s="18" t="str">
        <f>IF($AA355=0,"",INDEX('13 - DATA &amp; LISTS'!$AA$30:$AA$436,$AA355))</f>
        <v/>
      </c>
      <c r="D355" s="18" t="str">
        <f>IF($AA355=0,"",INDEX('13 - DATA &amp; LISTS'!$AB$30:$AB$436,$AA355))</f>
        <v/>
      </c>
      <c r="E355" s="18" t="str">
        <f>IF($AA355=0,"",INDEX('13 - DATA &amp; LISTS'!$AC$30:$AC$436,$AA355))</f>
        <v/>
      </c>
      <c r="F355" s="18" t="str">
        <f>IF($AA355=0,"",INDEX('13 - DATA &amp; LISTS'!$AD$30:$AD$436,$AA355))</f>
        <v/>
      </c>
      <c r="G355" s="18" t="str">
        <f>IF($AA355=0,"",INDEX('13 - DATA &amp; LISTS'!$AE$30:$AE$436,$AA355))</f>
        <v/>
      </c>
      <c r="H355" s="19" t="str">
        <f>IF($AA355=0,"",INDEX('13 - DATA &amp; LISTS'!$AF$30:$AF$436,$AA355))</f>
        <v/>
      </c>
      <c r="I355" s="18" t="str">
        <f>IF($AA355=0,"",INDEX('13 - DATA &amp; LISTS'!$AG$30:$AG$436,$AA355))</f>
        <v/>
      </c>
      <c r="J355" s="18" t="str">
        <f>IF($AA355=0,"",INDEX('13 - DATA &amp; LISTS'!$AH$30:$AH$436,$AA355))</f>
        <v/>
      </c>
      <c r="K355" s="18" t="str">
        <f>IF($AA355=0,"",INDEX('13 - DATA &amp; LISTS'!$AI$30:$AI$436,$AA355))</f>
        <v/>
      </c>
      <c r="AA355">
        <f>IF(COUNTIF('13 - DATA &amp; LISTS'!$AK$30:$AK$436,"&lt;999999999999")&lt;347,0,MATCH(SMALL('13 - DATA &amp; LISTS'!$AK$30:$AK$436,347),'13 - DATA &amp; LISTS'!$AK$30:$AK$436,0))</f>
        <v>0</v>
      </c>
    </row>
    <row r="356" spans="1:27" ht="63.95" customHeight="1">
      <c r="A356" s="18" t="str">
        <f>IF($AA356=0,"",INDEX('13 - DATA &amp; LISTS'!$Y$30:$Y$436,$AA356))</f>
        <v/>
      </c>
      <c r="B356" s="18" t="str">
        <f>IF($AA356=0,"",INDEX('13 - DATA &amp; LISTS'!$Z$30:$Z$436,$AA356))</f>
        <v/>
      </c>
      <c r="C356" s="18" t="str">
        <f>IF($AA356=0,"",INDEX('13 - DATA &amp; LISTS'!$AA$30:$AA$436,$AA356))</f>
        <v/>
      </c>
      <c r="D356" s="18" t="str">
        <f>IF($AA356=0,"",INDEX('13 - DATA &amp; LISTS'!$AB$30:$AB$436,$AA356))</f>
        <v/>
      </c>
      <c r="E356" s="18" t="str">
        <f>IF($AA356=0,"",INDEX('13 - DATA &amp; LISTS'!$AC$30:$AC$436,$AA356))</f>
        <v/>
      </c>
      <c r="F356" s="18" t="str">
        <f>IF($AA356=0,"",INDEX('13 - DATA &amp; LISTS'!$AD$30:$AD$436,$AA356))</f>
        <v/>
      </c>
      <c r="G356" s="18" t="str">
        <f>IF($AA356=0,"",INDEX('13 - DATA &amp; LISTS'!$AE$30:$AE$436,$AA356))</f>
        <v/>
      </c>
      <c r="H356" s="19" t="str">
        <f>IF($AA356=0,"",INDEX('13 - DATA &amp; LISTS'!$AF$30:$AF$436,$AA356))</f>
        <v/>
      </c>
      <c r="I356" s="18" t="str">
        <f>IF($AA356=0,"",INDEX('13 - DATA &amp; LISTS'!$AG$30:$AG$436,$AA356))</f>
        <v/>
      </c>
      <c r="J356" s="18" t="str">
        <f>IF($AA356=0,"",INDEX('13 - DATA &amp; LISTS'!$AH$30:$AH$436,$AA356))</f>
        <v/>
      </c>
      <c r="K356" s="18" t="str">
        <f>IF($AA356=0,"",INDEX('13 - DATA &amp; LISTS'!$AI$30:$AI$436,$AA356))</f>
        <v/>
      </c>
      <c r="AA356">
        <f>IF(COUNTIF('13 - DATA &amp; LISTS'!$AK$30:$AK$436,"&lt;999999999999")&lt;348,0,MATCH(SMALL('13 - DATA &amp; LISTS'!$AK$30:$AK$436,348),'13 - DATA &amp; LISTS'!$AK$30:$AK$436,0))</f>
        <v>0</v>
      </c>
    </row>
    <row r="357" spans="1:27" ht="63.95" customHeight="1">
      <c r="A357" s="18" t="str">
        <f>IF($AA357=0,"",INDEX('13 - DATA &amp; LISTS'!$Y$30:$Y$436,$AA357))</f>
        <v/>
      </c>
      <c r="B357" s="18" t="str">
        <f>IF($AA357=0,"",INDEX('13 - DATA &amp; LISTS'!$Z$30:$Z$436,$AA357))</f>
        <v/>
      </c>
      <c r="C357" s="18" t="str">
        <f>IF($AA357=0,"",INDEX('13 - DATA &amp; LISTS'!$AA$30:$AA$436,$AA357))</f>
        <v/>
      </c>
      <c r="D357" s="18" t="str">
        <f>IF($AA357=0,"",INDEX('13 - DATA &amp; LISTS'!$AB$30:$AB$436,$AA357))</f>
        <v/>
      </c>
      <c r="E357" s="18" t="str">
        <f>IF($AA357=0,"",INDEX('13 - DATA &amp; LISTS'!$AC$30:$AC$436,$AA357))</f>
        <v/>
      </c>
      <c r="F357" s="18" t="str">
        <f>IF($AA357=0,"",INDEX('13 - DATA &amp; LISTS'!$AD$30:$AD$436,$AA357))</f>
        <v/>
      </c>
      <c r="G357" s="18" t="str">
        <f>IF($AA357=0,"",INDEX('13 - DATA &amp; LISTS'!$AE$30:$AE$436,$AA357))</f>
        <v/>
      </c>
      <c r="H357" s="19" t="str">
        <f>IF($AA357=0,"",INDEX('13 - DATA &amp; LISTS'!$AF$30:$AF$436,$AA357))</f>
        <v/>
      </c>
      <c r="I357" s="18" t="str">
        <f>IF($AA357=0,"",INDEX('13 - DATA &amp; LISTS'!$AG$30:$AG$436,$AA357))</f>
        <v/>
      </c>
      <c r="J357" s="18" t="str">
        <f>IF($AA357=0,"",INDEX('13 - DATA &amp; LISTS'!$AH$30:$AH$436,$AA357))</f>
        <v/>
      </c>
      <c r="K357" s="18" t="str">
        <f>IF($AA357=0,"",INDEX('13 - DATA &amp; LISTS'!$AI$30:$AI$436,$AA357))</f>
        <v/>
      </c>
      <c r="AA357">
        <f>IF(COUNTIF('13 - DATA &amp; LISTS'!$AK$30:$AK$436,"&lt;999999999999")&lt;349,0,MATCH(SMALL('13 - DATA &amp; LISTS'!$AK$30:$AK$436,349),'13 - DATA &amp; LISTS'!$AK$30:$AK$436,0))</f>
        <v>0</v>
      </c>
    </row>
    <row r="358" spans="1:27" ht="63.95" customHeight="1">
      <c r="A358" s="18" t="str">
        <f>IF($AA358=0,"",INDEX('13 - DATA &amp; LISTS'!$Y$30:$Y$436,$AA358))</f>
        <v/>
      </c>
      <c r="B358" s="18" t="str">
        <f>IF($AA358=0,"",INDEX('13 - DATA &amp; LISTS'!$Z$30:$Z$436,$AA358))</f>
        <v/>
      </c>
      <c r="C358" s="18" t="str">
        <f>IF($AA358=0,"",INDEX('13 - DATA &amp; LISTS'!$AA$30:$AA$436,$AA358))</f>
        <v/>
      </c>
      <c r="D358" s="18" t="str">
        <f>IF($AA358=0,"",INDEX('13 - DATA &amp; LISTS'!$AB$30:$AB$436,$AA358))</f>
        <v/>
      </c>
      <c r="E358" s="18" t="str">
        <f>IF($AA358=0,"",INDEX('13 - DATA &amp; LISTS'!$AC$30:$AC$436,$AA358))</f>
        <v/>
      </c>
      <c r="F358" s="18" t="str">
        <f>IF($AA358=0,"",INDEX('13 - DATA &amp; LISTS'!$AD$30:$AD$436,$AA358))</f>
        <v/>
      </c>
      <c r="G358" s="18" t="str">
        <f>IF($AA358=0,"",INDEX('13 - DATA &amp; LISTS'!$AE$30:$AE$436,$AA358))</f>
        <v/>
      </c>
      <c r="H358" s="19" t="str">
        <f>IF($AA358=0,"",INDEX('13 - DATA &amp; LISTS'!$AF$30:$AF$436,$AA358))</f>
        <v/>
      </c>
      <c r="I358" s="18" t="str">
        <f>IF($AA358=0,"",INDEX('13 - DATA &amp; LISTS'!$AG$30:$AG$436,$AA358))</f>
        <v/>
      </c>
      <c r="J358" s="18" t="str">
        <f>IF($AA358=0,"",INDEX('13 - DATA &amp; LISTS'!$AH$30:$AH$436,$AA358))</f>
        <v/>
      </c>
      <c r="K358" s="18" t="str">
        <f>IF($AA358=0,"",INDEX('13 - DATA &amp; LISTS'!$AI$30:$AI$436,$AA358))</f>
        <v/>
      </c>
      <c r="AA358">
        <f>IF(COUNTIF('13 - DATA &amp; LISTS'!$AK$30:$AK$436,"&lt;999999999999")&lt;350,0,MATCH(SMALL('13 - DATA &amp; LISTS'!$AK$30:$AK$436,350),'13 - DATA &amp; LISTS'!$AK$30:$AK$436,0))</f>
        <v>0</v>
      </c>
    </row>
    <row r="359" spans="1:27" ht="63.95" customHeight="1">
      <c r="A359" s="18" t="str">
        <f>IF($AA359=0,"",INDEX('13 - DATA &amp; LISTS'!$Y$30:$Y$436,$AA359))</f>
        <v/>
      </c>
      <c r="B359" s="18" t="str">
        <f>IF($AA359=0,"",INDEX('13 - DATA &amp; LISTS'!$Z$30:$Z$436,$AA359))</f>
        <v/>
      </c>
      <c r="C359" s="18" t="str">
        <f>IF($AA359=0,"",INDEX('13 - DATA &amp; LISTS'!$AA$30:$AA$436,$AA359))</f>
        <v/>
      </c>
      <c r="D359" s="18" t="str">
        <f>IF($AA359=0,"",INDEX('13 - DATA &amp; LISTS'!$AB$30:$AB$436,$AA359))</f>
        <v/>
      </c>
      <c r="E359" s="18" t="str">
        <f>IF($AA359=0,"",INDEX('13 - DATA &amp; LISTS'!$AC$30:$AC$436,$AA359))</f>
        <v/>
      </c>
      <c r="F359" s="18" t="str">
        <f>IF($AA359=0,"",INDEX('13 - DATA &amp; LISTS'!$AD$30:$AD$436,$AA359))</f>
        <v/>
      </c>
      <c r="G359" s="18" t="str">
        <f>IF($AA359=0,"",INDEX('13 - DATA &amp; LISTS'!$AE$30:$AE$436,$AA359))</f>
        <v/>
      </c>
      <c r="H359" s="19" t="str">
        <f>IF($AA359=0,"",INDEX('13 - DATA &amp; LISTS'!$AF$30:$AF$436,$AA359))</f>
        <v/>
      </c>
      <c r="I359" s="18" t="str">
        <f>IF($AA359=0,"",INDEX('13 - DATA &amp; LISTS'!$AG$30:$AG$436,$AA359))</f>
        <v/>
      </c>
      <c r="J359" s="18" t="str">
        <f>IF($AA359=0,"",INDEX('13 - DATA &amp; LISTS'!$AH$30:$AH$436,$AA359))</f>
        <v/>
      </c>
      <c r="K359" s="18" t="str">
        <f>IF($AA359=0,"",INDEX('13 - DATA &amp; LISTS'!$AI$30:$AI$436,$AA359))</f>
        <v/>
      </c>
      <c r="AA359">
        <f>IF(COUNTIF('13 - DATA &amp; LISTS'!$AK$30:$AK$436,"&lt;999999999999")&lt;351,0,MATCH(SMALL('13 - DATA &amp; LISTS'!$AK$30:$AK$436,351),'13 - DATA &amp; LISTS'!$AK$30:$AK$436,0))</f>
        <v>0</v>
      </c>
    </row>
    <row r="360" spans="1:27" ht="63.95" customHeight="1">
      <c r="A360" s="18" t="str">
        <f>IF($AA360=0,"",INDEX('13 - DATA &amp; LISTS'!$Y$30:$Y$436,$AA360))</f>
        <v/>
      </c>
      <c r="B360" s="18" t="str">
        <f>IF($AA360=0,"",INDEX('13 - DATA &amp; LISTS'!$Z$30:$Z$436,$AA360))</f>
        <v/>
      </c>
      <c r="C360" s="18" t="str">
        <f>IF($AA360=0,"",INDEX('13 - DATA &amp; LISTS'!$AA$30:$AA$436,$AA360))</f>
        <v/>
      </c>
      <c r="D360" s="18" t="str">
        <f>IF($AA360=0,"",INDEX('13 - DATA &amp; LISTS'!$AB$30:$AB$436,$AA360))</f>
        <v/>
      </c>
      <c r="E360" s="18" t="str">
        <f>IF($AA360=0,"",INDEX('13 - DATA &amp; LISTS'!$AC$30:$AC$436,$AA360))</f>
        <v/>
      </c>
      <c r="F360" s="18" t="str">
        <f>IF($AA360=0,"",INDEX('13 - DATA &amp; LISTS'!$AD$30:$AD$436,$AA360))</f>
        <v/>
      </c>
      <c r="G360" s="18" t="str">
        <f>IF($AA360=0,"",INDEX('13 - DATA &amp; LISTS'!$AE$30:$AE$436,$AA360))</f>
        <v/>
      </c>
      <c r="H360" s="19" t="str">
        <f>IF($AA360=0,"",INDEX('13 - DATA &amp; LISTS'!$AF$30:$AF$436,$AA360))</f>
        <v/>
      </c>
      <c r="I360" s="18" t="str">
        <f>IF($AA360=0,"",INDEX('13 - DATA &amp; LISTS'!$AG$30:$AG$436,$AA360))</f>
        <v/>
      </c>
      <c r="J360" s="18" t="str">
        <f>IF($AA360=0,"",INDEX('13 - DATA &amp; LISTS'!$AH$30:$AH$436,$AA360))</f>
        <v/>
      </c>
      <c r="K360" s="18" t="str">
        <f>IF($AA360=0,"",INDEX('13 - DATA &amp; LISTS'!$AI$30:$AI$436,$AA360))</f>
        <v/>
      </c>
      <c r="AA360">
        <f>IF(COUNTIF('13 - DATA &amp; LISTS'!$AK$30:$AK$436,"&lt;999999999999")&lt;352,0,MATCH(SMALL('13 - DATA &amp; LISTS'!$AK$30:$AK$436,352),'13 - DATA &amp; LISTS'!$AK$30:$AK$436,0))</f>
        <v>0</v>
      </c>
    </row>
    <row r="361" spans="1:27" ht="63.95" customHeight="1">
      <c r="A361" s="18" t="str">
        <f>IF($AA361=0,"",INDEX('13 - DATA &amp; LISTS'!$Y$30:$Y$436,$AA361))</f>
        <v/>
      </c>
      <c r="B361" s="18" t="str">
        <f>IF($AA361=0,"",INDEX('13 - DATA &amp; LISTS'!$Z$30:$Z$436,$AA361))</f>
        <v/>
      </c>
      <c r="C361" s="18" t="str">
        <f>IF($AA361=0,"",INDEX('13 - DATA &amp; LISTS'!$AA$30:$AA$436,$AA361))</f>
        <v/>
      </c>
      <c r="D361" s="18" t="str">
        <f>IF($AA361=0,"",INDEX('13 - DATA &amp; LISTS'!$AB$30:$AB$436,$AA361))</f>
        <v/>
      </c>
      <c r="E361" s="18" t="str">
        <f>IF($AA361=0,"",INDEX('13 - DATA &amp; LISTS'!$AC$30:$AC$436,$AA361))</f>
        <v/>
      </c>
      <c r="F361" s="18" t="str">
        <f>IF($AA361=0,"",INDEX('13 - DATA &amp; LISTS'!$AD$30:$AD$436,$AA361))</f>
        <v/>
      </c>
      <c r="G361" s="18" t="str">
        <f>IF($AA361=0,"",INDEX('13 - DATA &amp; LISTS'!$AE$30:$AE$436,$AA361))</f>
        <v/>
      </c>
      <c r="H361" s="19" t="str">
        <f>IF($AA361=0,"",INDEX('13 - DATA &amp; LISTS'!$AF$30:$AF$436,$AA361))</f>
        <v/>
      </c>
      <c r="I361" s="18" t="str">
        <f>IF($AA361=0,"",INDEX('13 - DATA &amp; LISTS'!$AG$30:$AG$436,$AA361))</f>
        <v/>
      </c>
      <c r="J361" s="18" t="str">
        <f>IF($AA361=0,"",INDEX('13 - DATA &amp; LISTS'!$AH$30:$AH$436,$AA361))</f>
        <v/>
      </c>
      <c r="K361" s="18" t="str">
        <f>IF($AA361=0,"",INDEX('13 - DATA &amp; LISTS'!$AI$30:$AI$436,$AA361))</f>
        <v/>
      </c>
      <c r="AA361">
        <f>IF(COUNTIF('13 - DATA &amp; LISTS'!$AK$30:$AK$436,"&lt;999999999999")&lt;353,0,MATCH(SMALL('13 - DATA &amp; LISTS'!$AK$30:$AK$436,353),'13 - DATA &amp; LISTS'!$AK$30:$AK$436,0))</f>
        <v>0</v>
      </c>
    </row>
    <row r="362" spans="1:27" ht="63.95" customHeight="1">
      <c r="A362" s="18" t="str">
        <f>IF($AA362=0,"",INDEX('13 - DATA &amp; LISTS'!$Y$30:$Y$436,$AA362))</f>
        <v/>
      </c>
      <c r="B362" s="18" t="str">
        <f>IF($AA362=0,"",INDEX('13 - DATA &amp; LISTS'!$Z$30:$Z$436,$AA362))</f>
        <v/>
      </c>
      <c r="C362" s="18" t="str">
        <f>IF($AA362=0,"",INDEX('13 - DATA &amp; LISTS'!$AA$30:$AA$436,$AA362))</f>
        <v/>
      </c>
      <c r="D362" s="18" t="str">
        <f>IF($AA362=0,"",INDEX('13 - DATA &amp; LISTS'!$AB$30:$AB$436,$AA362))</f>
        <v/>
      </c>
      <c r="E362" s="18" t="str">
        <f>IF($AA362=0,"",INDEX('13 - DATA &amp; LISTS'!$AC$30:$AC$436,$AA362))</f>
        <v/>
      </c>
      <c r="F362" s="18" t="str">
        <f>IF($AA362=0,"",INDEX('13 - DATA &amp; LISTS'!$AD$30:$AD$436,$AA362))</f>
        <v/>
      </c>
      <c r="G362" s="18" t="str">
        <f>IF($AA362=0,"",INDEX('13 - DATA &amp; LISTS'!$AE$30:$AE$436,$AA362))</f>
        <v/>
      </c>
      <c r="H362" s="19" t="str">
        <f>IF($AA362=0,"",INDEX('13 - DATA &amp; LISTS'!$AF$30:$AF$436,$AA362))</f>
        <v/>
      </c>
      <c r="I362" s="18" t="str">
        <f>IF($AA362=0,"",INDEX('13 - DATA &amp; LISTS'!$AG$30:$AG$436,$AA362))</f>
        <v/>
      </c>
      <c r="J362" s="18" t="str">
        <f>IF($AA362=0,"",INDEX('13 - DATA &amp; LISTS'!$AH$30:$AH$436,$AA362))</f>
        <v/>
      </c>
      <c r="K362" s="18" t="str">
        <f>IF($AA362=0,"",INDEX('13 - DATA &amp; LISTS'!$AI$30:$AI$436,$AA362))</f>
        <v/>
      </c>
      <c r="AA362">
        <f>IF(COUNTIF('13 - DATA &amp; LISTS'!$AK$30:$AK$436,"&lt;999999999999")&lt;354,0,MATCH(SMALL('13 - DATA &amp; LISTS'!$AK$30:$AK$436,354),'13 - DATA &amp; LISTS'!$AK$30:$AK$436,0))</f>
        <v>0</v>
      </c>
    </row>
    <row r="363" spans="1:27" ht="63.95" customHeight="1">
      <c r="A363" s="18" t="str">
        <f>IF($AA363=0,"",INDEX('13 - DATA &amp; LISTS'!$Y$30:$Y$436,$AA363))</f>
        <v/>
      </c>
      <c r="B363" s="18" t="str">
        <f>IF($AA363=0,"",INDEX('13 - DATA &amp; LISTS'!$Z$30:$Z$436,$AA363))</f>
        <v/>
      </c>
      <c r="C363" s="18" t="str">
        <f>IF($AA363=0,"",INDEX('13 - DATA &amp; LISTS'!$AA$30:$AA$436,$AA363))</f>
        <v/>
      </c>
      <c r="D363" s="18" t="str">
        <f>IF($AA363=0,"",INDEX('13 - DATA &amp; LISTS'!$AB$30:$AB$436,$AA363))</f>
        <v/>
      </c>
      <c r="E363" s="18" t="str">
        <f>IF($AA363=0,"",INDEX('13 - DATA &amp; LISTS'!$AC$30:$AC$436,$AA363))</f>
        <v/>
      </c>
      <c r="F363" s="18" t="str">
        <f>IF($AA363=0,"",INDEX('13 - DATA &amp; LISTS'!$AD$30:$AD$436,$AA363))</f>
        <v/>
      </c>
      <c r="G363" s="18" t="str">
        <f>IF($AA363=0,"",INDEX('13 - DATA &amp; LISTS'!$AE$30:$AE$436,$AA363))</f>
        <v/>
      </c>
      <c r="H363" s="19" t="str">
        <f>IF($AA363=0,"",INDEX('13 - DATA &amp; LISTS'!$AF$30:$AF$436,$AA363))</f>
        <v/>
      </c>
      <c r="I363" s="18" t="str">
        <f>IF($AA363=0,"",INDEX('13 - DATA &amp; LISTS'!$AG$30:$AG$436,$AA363))</f>
        <v/>
      </c>
      <c r="J363" s="18" t="str">
        <f>IF($AA363=0,"",INDEX('13 - DATA &amp; LISTS'!$AH$30:$AH$436,$AA363))</f>
        <v/>
      </c>
      <c r="K363" s="18" t="str">
        <f>IF($AA363=0,"",INDEX('13 - DATA &amp; LISTS'!$AI$30:$AI$436,$AA363))</f>
        <v/>
      </c>
      <c r="AA363">
        <f>IF(COUNTIF('13 - DATA &amp; LISTS'!$AK$30:$AK$436,"&lt;999999999999")&lt;355,0,MATCH(SMALL('13 - DATA &amp; LISTS'!$AK$30:$AK$436,355),'13 - DATA &amp; LISTS'!$AK$30:$AK$436,0))</f>
        <v>0</v>
      </c>
    </row>
    <row r="364" spans="1:27" ht="63.95" customHeight="1">
      <c r="A364" s="18" t="str">
        <f>IF($AA364=0,"",INDEX('13 - DATA &amp; LISTS'!$Y$30:$Y$436,$AA364))</f>
        <v/>
      </c>
      <c r="B364" s="18" t="str">
        <f>IF($AA364=0,"",INDEX('13 - DATA &amp; LISTS'!$Z$30:$Z$436,$AA364))</f>
        <v/>
      </c>
      <c r="C364" s="18" t="str">
        <f>IF($AA364=0,"",INDEX('13 - DATA &amp; LISTS'!$AA$30:$AA$436,$AA364))</f>
        <v/>
      </c>
      <c r="D364" s="18" t="str">
        <f>IF($AA364=0,"",INDEX('13 - DATA &amp; LISTS'!$AB$30:$AB$436,$AA364))</f>
        <v/>
      </c>
      <c r="E364" s="18" t="str">
        <f>IF($AA364=0,"",INDEX('13 - DATA &amp; LISTS'!$AC$30:$AC$436,$AA364))</f>
        <v/>
      </c>
      <c r="F364" s="18" t="str">
        <f>IF($AA364=0,"",INDEX('13 - DATA &amp; LISTS'!$AD$30:$AD$436,$AA364))</f>
        <v/>
      </c>
      <c r="G364" s="18" t="str">
        <f>IF($AA364=0,"",INDEX('13 - DATA &amp; LISTS'!$AE$30:$AE$436,$AA364))</f>
        <v/>
      </c>
      <c r="H364" s="19" t="str">
        <f>IF($AA364=0,"",INDEX('13 - DATA &amp; LISTS'!$AF$30:$AF$436,$AA364))</f>
        <v/>
      </c>
      <c r="I364" s="18" t="str">
        <f>IF($AA364=0,"",INDEX('13 - DATA &amp; LISTS'!$AG$30:$AG$436,$AA364))</f>
        <v/>
      </c>
      <c r="J364" s="18" t="str">
        <f>IF($AA364=0,"",INDEX('13 - DATA &amp; LISTS'!$AH$30:$AH$436,$AA364))</f>
        <v/>
      </c>
      <c r="K364" s="18" t="str">
        <f>IF($AA364=0,"",INDEX('13 - DATA &amp; LISTS'!$AI$30:$AI$436,$AA364))</f>
        <v/>
      </c>
      <c r="AA364">
        <f>IF(COUNTIF('13 - DATA &amp; LISTS'!$AK$30:$AK$436,"&lt;999999999999")&lt;356,0,MATCH(SMALL('13 - DATA &amp; LISTS'!$AK$30:$AK$436,356),'13 - DATA &amp; LISTS'!$AK$30:$AK$436,0))</f>
        <v>0</v>
      </c>
    </row>
    <row r="365" spans="1:27" ht="63.95" customHeight="1">
      <c r="A365" s="18" t="str">
        <f>IF($AA365=0,"",INDEX('13 - DATA &amp; LISTS'!$Y$30:$Y$436,$AA365))</f>
        <v/>
      </c>
      <c r="B365" s="18" t="str">
        <f>IF($AA365=0,"",INDEX('13 - DATA &amp; LISTS'!$Z$30:$Z$436,$AA365))</f>
        <v/>
      </c>
      <c r="C365" s="18" t="str">
        <f>IF($AA365=0,"",INDEX('13 - DATA &amp; LISTS'!$AA$30:$AA$436,$AA365))</f>
        <v/>
      </c>
      <c r="D365" s="18" t="str">
        <f>IF($AA365=0,"",INDEX('13 - DATA &amp; LISTS'!$AB$30:$AB$436,$AA365))</f>
        <v/>
      </c>
      <c r="E365" s="18" t="str">
        <f>IF($AA365=0,"",INDEX('13 - DATA &amp; LISTS'!$AC$30:$AC$436,$AA365))</f>
        <v/>
      </c>
      <c r="F365" s="18" t="str">
        <f>IF($AA365=0,"",INDEX('13 - DATA &amp; LISTS'!$AD$30:$AD$436,$AA365))</f>
        <v/>
      </c>
      <c r="G365" s="18" t="str">
        <f>IF($AA365=0,"",INDEX('13 - DATA &amp; LISTS'!$AE$30:$AE$436,$AA365))</f>
        <v/>
      </c>
      <c r="H365" s="19" t="str">
        <f>IF($AA365=0,"",INDEX('13 - DATA &amp; LISTS'!$AF$30:$AF$436,$AA365))</f>
        <v/>
      </c>
      <c r="I365" s="18" t="str">
        <f>IF($AA365=0,"",INDEX('13 - DATA &amp; LISTS'!$AG$30:$AG$436,$AA365))</f>
        <v/>
      </c>
      <c r="J365" s="18" t="str">
        <f>IF($AA365=0,"",INDEX('13 - DATA &amp; LISTS'!$AH$30:$AH$436,$AA365))</f>
        <v/>
      </c>
      <c r="K365" s="18" t="str">
        <f>IF($AA365=0,"",INDEX('13 - DATA &amp; LISTS'!$AI$30:$AI$436,$AA365))</f>
        <v/>
      </c>
      <c r="AA365">
        <f>IF(COUNTIF('13 - DATA &amp; LISTS'!$AK$30:$AK$436,"&lt;999999999999")&lt;357,0,MATCH(SMALL('13 - DATA &amp; LISTS'!$AK$30:$AK$436,357),'13 - DATA &amp; LISTS'!$AK$30:$AK$436,0))</f>
        <v>0</v>
      </c>
    </row>
    <row r="366" spans="1:27" ht="63.95" customHeight="1">
      <c r="A366" s="18" t="str">
        <f>IF($AA366=0,"",INDEX('13 - DATA &amp; LISTS'!$Y$30:$Y$436,$AA366))</f>
        <v/>
      </c>
      <c r="B366" s="18" t="str">
        <f>IF($AA366=0,"",INDEX('13 - DATA &amp; LISTS'!$Z$30:$Z$436,$AA366))</f>
        <v/>
      </c>
      <c r="C366" s="18" t="str">
        <f>IF($AA366=0,"",INDEX('13 - DATA &amp; LISTS'!$AA$30:$AA$436,$AA366))</f>
        <v/>
      </c>
      <c r="D366" s="18" t="str">
        <f>IF($AA366=0,"",INDEX('13 - DATA &amp; LISTS'!$AB$30:$AB$436,$AA366))</f>
        <v/>
      </c>
      <c r="E366" s="18" t="str">
        <f>IF($AA366=0,"",INDEX('13 - DATA &amp; LISTS'!$AC$30:$AC$436,$AA366))</f>
        <v/>
      </c>
      <c r="F366" s="18" t="str">
        <f>IF($AA366=0,"",INDEX('13 - DATA &amp; LISTS'!$AD$30:$AD$436,$AA366))</f>
        <v/>
      </c>
      <c r="G366" s="18" t="str">
        <f>IF($AA366=0,"",INDEX('13 - DATA &amp; LISTS'!$AE$30:$AE$436,$AA366))</f>
        <v/>
      </c>
      <c r="H366" s="19" t="str">
        <f>IF($AA366=0,"",INDEX('13 - DATA &amp; LISTS'!$AF$30:$AF$436,$AA366))</f>
        <v/>
      </c>
      <c r="I366" s="18" t="str">
        <f>IF($AA366=0,"",INDEX('13 - DATA &amp; LISTS'!$AG$30:$AG$436,$AA366))</f>
        <v/>
      </c>
      <c r="J366" s="18" t="str">
        <f>IF($AA366=0,"",INDEX('13 - DATA &amp; LISTS'!$AH$30:$AH$436,$AA366))</f>
        <v/>
      </c>
      <c r="K366" s="18" t="str">
        <f>IF($AA366=0,"",INDEX('13 - DATA &amp; LISTS'!$AI$30:$AI$436,$AA366))</f>
        <v/>
      </c>
      <c r="AA366">
        <f>IF(COUNTIF('13 - DATA &amp; LISTS'!$AK$30:$AK$436,"&lt;999999999999")&lt;358,0,MATCH(SMALL('13 - DATA &amp; LISTS'!$AK$30:$AK$436,358),'13 - DATA &amp; LISTS'!$AK$30:$AK$436,0))</f>
        <v>0</v>
      </c>
    </row>
    <row r="367" spans="1:27" ht="63.95" customHeight="1">
      <c r="A367" s="18" t="str">
        <f>IF($AA367=0,"",INDEX('13 - DATA &amp; LISTS'!$Y$30:$Y$436,$AA367))</f>
        <v/>
      </c>
      <c r="B367" s="18" t="str">
        <f>IF($AA367=0,"",INDEX('13 - DATA &amp; LISTS'!$Z$30:$Z$436,$AA367))</f>
        <v/>
      </c>
      <c r="C367" s="18" t="str">
        <f>IF($AA367=0,"",INDEX('13 - DATA &amp; LISTS'!$AA$30:$AA$436,$AA367))</f>
        <v/>
      </c>
      <c r="D367" s="18" t="str">
        <f>IF($AA367=0,"",INDEX('13 - DATA &amp; LISTS'!$AB$30:$AB$436,$AA367))</f>
        <v/>
      </c>
      <c r="E367" s="18" t="str">
        <f>IF($AA367=0,"",INDEX('13 - DATA &amp; LISTS'!$AC$30:$AC$436,$AA367))</f>
        <v/>
      </c>
      <c r="F367" s="18" t="str">
        <f>IF($AA367=0,"",INDEX('13 - DATA &amp; LISTS'!$AD$30:$AD$436,$AA367))</f>
        <v/>
      </c>
      <c r="G367" s="18" t="str">
        <f>IF($AA367=0,"",INDEX('13 - DATA &amp; LISTS'!$AE$30:$AE$436,$AA367))</f>
        <v/>
      </c>
      <c r="H367" s="19" t="str">
        <f>IF($AA367=0,"",INDEX('13 - DATA &amp; LISTS'!$AF$30:$AF$436,$AA367))</f>
        <v/>
      </c>
      <c r="I367" s="18" t="str">
        <f>IF($AA367=0,"",INDEX('13 - DATA &amp; LISTS'!$AG$30:$AG$436,$AA367))</f>
        <v/>
      </c>
      <c r="J367" s="18" t="str">
        <f>IF($AA367=0,"",INDEX('13 - DATA &amp; LISTS'!$AH$30:$AH$436,$AA367))</f>
        <v/>
      </c>
      <c r="K367" s="18" t="str">
        <f>IF($AA367=0,"",INDEX('13 - DATA &amp; LISTS'!$AI$30:$AI$436,$AA367))</f>
        <v/>
      </c>
      <c r="AA367">
        <f>IF(COUNTIF('13 - DATA &amp; LISTS'!$AK$30:$AK$436,"&lt;999999999999")&lt;359,0,MATCH(SMALL('13 - DATA &amp; LISTS'!$AK$30:$AK$436,359),'13 - DATA &amp; LISTS'!$AK$30:$AK$436,0))</f>
        <v>0</v>
      </c>
    </row>
    <row r="368" spans="1:27" ht="63.95" customHeight="1">
      <c r="A368" s="18" t="str">
        <f>IF($AA368=0,"",INDEX('13 - DATA &amp; LISTS'!$Y$30:$Y$436,$AA368))</f>
        <v/>
      </c>
      <c r="B368" s="18" t="str">
        <f>IF($AA368=0,"",INDEX('13 - DATA &amp; LISTS'!$Z$30:$Z$436,$AA368))</f>
        <v/>
      </c>
      <c r="C368" s="18" t="str">
        <f>IF($AA368=0,"",INDEX('13 - DATA &amp; LISTS'!$AA$30:$AA$436,$AA368))</f>
        <v/>
      </c>
      <c r="D368" s="18" t="str">
        <f>IF($AA368=0,"",INDEX('13 - DATA &amp; LISTS'!$AB$30:$AB$436,$AA368))</f>
        <v/>
      </c>
      <c r="E368" s="18" t="str">
        <f>IF($AA368=0,"",INDEX('13 - DATA &amp; LISTS'!$AC$30:$AC$436,$AA368))</f>
        <v/>
      </c>
      <c r="F368" s="18" t="str">
        <f>IF($AA368=0,"",INDEX('13 - DATA &amp; LISTS'!$AD$30:$AD$436,$AA368))</f>
        <v/>
      </c>
      <c r="G368" s="18" t="str">
        <f>IF($AA368=0,"",INDEX('13 - DATA &amp; LISTS'!$AE$30:$AE$436,$AA368))</f>
        <v/>
      </c>
      <c r="H368" s="19" t="str">
        <f>IF($AA368=0,"",INDEX('13 - DATA &amp; LISTS'!$AF$30:$AF$436,$AA368))</f>
        <v/>
      </c>
      <c r="I368" s="18" t="str">
        <f>IF($AA368=0,"",INDEX('13 - DATA &amp; LISTS'!$AG$30:$AG$436,$AA368))</f>
        <v/>
      </c>
      <c r="J368" s="18" t="str">
        <f>IF($AA368=0,"",INDEX('13 - DATA &amp; LISTS'!$AH$30:$AH$436,$AA368))</f>
        <v/>
      </c>
      <c r="K368" s="18" t="str">
        <f>IF($AA368=0,"",INDEX('13 - DATA &amp; LISTS'!$AI$30:$AI$436,$AA368))</f>
        <v/>
      </c>
      <c r="AA368">
        <f>IF(COUNTIF('13 - DATA &amp; LISTS'!$AK$30:$AK$436,"&lt;999999999999")&lt;360,0,MATCH(SMALL('13 - DATA &amp; LISTS'!$AK$30:$AK$436,360),'13 - DATA &amp; LISTS'!$AK$30:$AK$436,0))</f>
        <v>0</v>
      </c>
    </row>
    <row r="369" spans="1:27" ht="63.95" customHeight="1">
      <c r="A369" s="18" t="str">
        <f>IF($AA369=0,"",INDEX('13 - DATA &amp; LISTS'!$Y$30:$Y$436,$AA369))</f>
        <v/>
      </c>
      <c r="B369" s="18" t="str">
        <f>IF($AA369=0,"",INDEX('13 - DATA &amp; LISTS'!$Z$30:$Z$436,$AA369))</f>
        <v/>
      </c>
      <c r="C369" s="18" t="str">
        <f>IF($AA369=0,"",INDEX('13 - DATA &amp; LISTS'!$AA$30:$AA$436,$AA369))</f>
        <v/>
      </c>
      <c r="D369" s="18" t="str">
        <f>IF($AA369=0,"",INDEX('13 - DATA &amp; LISTS'!$AB$30:$AB$436,$AA369))</f>
        <v/>
      </c>
      <c r="E369" s="18" t="str">
        <f>IF($AA369=0,"",INDEX('13 - DATA &amp; LISTS'!$AC$30:$AC$436,$AA369))</f>
        <v/>
      </c>
      <c r="F369" s="18" t="str">
        <f>IF($AA369=0,"",INDEX('13 - DATA &amp; LISTS'!$AD$30:$AD$436,$AA369))</f>
        <v/>
      </c>
      <c r="G369" s="18" t="str">
        <f>IF($AA369=0,"",INDEX('13 - DATA &amp; LISTS'!$AE$30:$AE$436,$AA369))</f>
        <v/>
      </c>
      <c r="H369" s="19" t="str">
        <f>IF($AA369=0,"",INDEX('13 - DATA &amp; LISTS'!$AF$30:$AF$436,$AA369))</f>
        <v/>
      </c>
      <c r="I369" s="18" t="str">
        <f>IF($AA369=0,"",INDEX('13 - DATA &amp; LISTS'!$AG$30:$AG$436,$AA369))</f>
        <v/>
      </c>
      <c r="J369" s="18" t="str">
        <f>IF($AA369=0,"",INDEX('13 - DATA &amp; LISTS'!$AH$30:$AH$436,$AA369))</f>
        <v/>
      </c>
      <c r="K369" s="18" t="str">
        <f>IF($AA369=0,"",INDEX('13 - DATA &amp; LISTS'!$AI$30:$AI$436,$AA369))</f>
        <v/>
      </c>
      <c r="AA369">
        <f>IF(COUNTIF('13 - DATA &amp; LISTS'!$AK$30:$AK$436,"&lt;999999999999")&lt;361,0,MATCH(SMALL('13 - DATA &amp; LISTS'!$AK$30:$AK$436,361),'13 - DATA &amp; LISTS'!$AK$30:$AK$436,0))</f>
        <v>0</v>
      </c>
    </row>
    <row r="370" spans="1:27" ht="63.95" customHeight="1">
      <c r="A370" s="18" t="str">
        <f>IF($AA370=0,"",INDEX('13 - DATA &amp; LISTS'!$Y$30:$Y$436,$AA370))</f>
        <v/>
      </c>
      <c r="B370" s="18" t="str">
        <f>IF($AA370=0,"",INDEX('13 - DATA &amp; LISTS'!$Z$30:$Z$436,$AA370))</f>
        <v/>
      </c>
      <c r="C370" s="18" t="str">
        <f>IF($AA370=0,"",INDEX('13 - DATA &amp; LISTS'!$AA$30:$AA$436,$AA370))</f>
        <v/>
      </c>
      <c r="D370" s="18" t="str">
        <f>IF($AA370=0,"",INDEX('13 - DATA &amp; LISTS'!$AB$30:$AB$436,$AA370))</f>
        <v/>
      </c>
      <c r="E370" s="18" t="str">
        <f>IF($AA370=0,"",INDEX('13 - DATA &amp; LISTS'!$AC$30:$AC$436,$AA370))</f>
        <v/>
      </c>
      <c r="F370" s="18" t="str">
        <f>IF($AA370=0,"",INDEX('13 - DATA &amp; LISTS'!$AD$30:$AD$436,$AA370))</f>
        <v/>
      </c>
      <c r="G370" s="18" t="str">
        <f>IF($AA370=0,"",INDEX('13 - DATA &amp; LISTS'!$AE$30:$AE$436,$AA370))</f>
        <v/>
      </c>
      <c r="H370" s="19" t="str">
        <f>IF($AA370=0,"",INDEX('13 - DATA &amp; LISTS'!$AF$30:$AF$436,$AA370))</f>
        <v/>
      </c>
      <c r="I370" s="18" t="str">
        <f>IF($AA370=0,"",INDEX('13 - DATA &amp; LISTS'!$AG$30:$AG$436,$AA370))</f>
        <v/>
      </c>
      <c r="J370" s="18" t="str">
        <f>IF($AA370=0,"",INDEX('13 - DATA &amp; LISTS'!$AH$30:$AH$436,$AA370))</f>
        <v/>
      </c>
      <c r="K370" s="18" t="str">
        <f>IF($AA370=0,"",INDEX('13 - DATA &amp; LISTS'!$AI$30:$AI$436,$AA370))</f>
        <v/>
      </c>
      <c r="AA370">
        <f>IF(COUNTIF('13 - DATA &amp; LISTS'!$AK$30:$AK$436,"&lt;999999999999")&lt;362,0,MATCH(SMALL('13 - DATA &amp; LISTS'!$AK$30:$AK$436,362),'13 - DATA &amp; LISTS'!$AK$30:$AK$436,0))</f>
        <v>0</v>
      </c>
    </row>
    <row r="371" spans="1:27" ht="63.95" customHeight="1">
      <c r="A371" s="18" t="str">
        <f>IF($AA371=0,"",INDEX('13 - DATA &amp; LISTS'!$Y$30:$Y$436,$AA371))</f>
        <v/>
      </c>
      <c r="B371" s="18" t="str">
        <f>IF($AA371=0,"",INDEX('13 - DATA &amp; LISTS'!$Z$30:$Z$436,$AA371))</f>
        <v/>
      </c>
      <c r="C371" s="18" t="str">
        <f>IF($AA371=0,"",INDEX('13 - DATA &amp; LISTS'!$AA$30:$AA$436,$AA371))</f>
        <v/>
      </c>
      <c r="D371" s="18" t="str">
        <f>IF($AA371=0,"",INDEX('13 - DATA &amp; LISTS'!$AB$30:$AB$436,$AA371))</f>
        <v/>
      </c>
      <c r="E371" s="18" t="str">
        <f>IF($AA371=0,"",INDEX('13 - DATA &amp; LISTS'!$AC$30:$AC$436,$AA371))</f>
        <v/>
      </c>
      <c r="F371" s="18" t="str">
        <f>IF($AA371=0,"",INDEX('13 - DATA &amp; LISTS'!$AD$30:$AD$436,$AA371))</f>
        <v/>
      </c>
      <c r="G371" s="18" t="str">
        <f>IF($AA371=0,"",INDEX('13 - DATA &amp; LISTS'!$AE$30:$AE$436,$AA371))</f>
        <v/>
      </c>
      <c r="H371" s="19" t="str">
        <f>IF($AA371=0,"",INDEX('13 - DATA &amp; LISTS'!$AF$30:$AF$436,$AA371))</f>
        <v/>
      </c>
      <c r="I371" s="18" t="str">
        <f>IF($AA371=0,"",INDEX('13 - DATA &amp; LISTS'!$AG$30:$AG$436,$AA371))</f>
        <v/>
      </c>
      <c r="J371" s="18" t="str">
        <f>IF($AA371=0,"",INDEX('13 - DATA &amp; LISTS'!$AH$30:$AH$436,$AA371))</f>
        <v/>
      </c>
      <c r="K371" s="18" t="str">
        <f>IF($AA371=0,"",INDEX('13 - DATA &amp; LISTS'!$AI$30:$AI$436,$AA371))</f>
        <v/>
      </c>
      <c r="AA371">
        <f>IF(COUNTIF('13 - DATA &amp; LISTS'!$AK$30:$AK$436,"&lt;999999999999")&lt;363,0,MATCH(SMALL('13 - DATA &amp; LISTS'!$AK$30:$AK$436,363),'13 - DATA &amp; LISTS'!$AK$30:$AK$436,0))</f>
        <v>0</v>
      </c>
    </row>
    <row r="372" spans="1:27" ht="63.95" customHeight="1">
      <c r="A372" s="18" t="str">
        <f>IF($AA372=0,"",INDEX('13 - DATA &amp; LISTS'!$Y$30:$Y$436,$AA372))</f>
        <v/>
      </c>
      <c r="B372" s="18" t="str">
        <f>IF($AA372=0,"",INDEX('13 - DATA &amp; LISTS'!$Z$30:$Z$436,$AA372))</f>
        <v/>
      </c>
      <c r="C372" s="18" t="str">
        <f>IF($AA372=0,"",INDEX('13 - DATA &amp; LISTS'!$AA$30:$AA$436,$AA372))</f>
        <v/>
      </c>
      <c r="D372" s="18" t="str">
        <f>IF($AA372=0,"",INDEX('13 - DATA &amp; LISTS'!$AB$30:$AB$436,$AA372))</f>
        <v/>
      </c>
      <c r="E372" s="18" t="str">
        <f>IF($AA372=0,"",INDEX('13 - DATA &amp; LISTS'!$AC$30:$AC$436,$AA372))</f>
        <v/>
      </c>
      <c r="F372" s="18" t="str">
        <f>IF($AA372=0,"",INDEX('13 - DATA &amp; LISTS'!$AD$30:$AD$436,$AA372))</f>
        <v/>
      </c>
      <c r="G372" s="18" t="str">
        <f>IF($AA372=0,"",INDEX('13 - DATA &amp; LISTS'!$AE$30:$AE$436,$AA372))</f>
        <v/>
      </c>
      <c r="H372" s="19" t="str">
        <f>IF($AA372=0,"",INDEX('13 - DATA &amp; LISTS'!$AF$30:$AF$436,$AA372))</f>
        <v/>
      </c>
      <c r="I372" s="18" t="str">
        <f>IF($AA372=0,"",INDEX('13 - DATA &amp; LISTS'!$AG$30:$AG$436,$AA372))</f>
        <v/>
      </c>
      <c r="J372" s="18" t="str">
        <f>IF($AA372=0,"",INDEX('13 - DATA &amp; LISTS'!$AH$30:$AH$436,$AA372))</f>
        <v/>
      </c>
      <c r="K372" s="18" t="str">
        <f>IF($AA372=0,"",INDEX('13 - DATA &amp; LISTS'!$AI$30:$AI$436,$AA372))</f>
        <v/>
      </c>
      <c r="AA372">
        <f>IF(COUNTIF('13 - DATA &amp; LISTS'!$AK$30:$AK$436,"&lt;999999999999")&lt;364,0,MATCH(SMALL('13 - DATA &amp; LISTS'!$AK$30:$AK$436,364),'13 - DATA &amp; LISTS'!$AK$30:$AK$436,0))</f>
        <v>0</v>
      </c>
    </row>
    <row r="373" spans="1:27" ht="63.95" customHeight="1">
      <c r="A373" s="18" t="str">
        <f>IF($AA373=0,"",INDEX('13 - DATA &amp; LISTS'!$Y$30:$Y$436,$AA373))</f>
        <v/>
      </c>
      <c r="B373" s="18" t="str">
        <f>IF($AA373=0,"",INDEX('13 - DATA &amp; LISTS'!$Z$30:$Z$436,$AA373))</f>
        <v/>
      </c>
      <c r="C373" s="18" t="str">
        <f>IF($AA373=0,"",INDEX('13 - DATA &amp; LISTS'!$AA$30:$AA$436,$AA373))</f>
        <v/>
      </c>
      <c r="D373" s="18" t="str">
        <f>IF($AA373=0,"",INDEX('13 - DATA &amp; LISTS'!$AB$30:$AB$436,$AA373))</f>
        <v/>
      </c>
      <c r="E373" s="18" t="str">
        <f>IF($AA373=0,"",INDEX('13 - DATA &amp; LISTS'!$AC$30:$AC$436,$AA373))</f>
        <v/>
      </c>
      <c r="F373" s="18" t="str">
        <f>IF($AA373=0,"",INDEX('13 - DATA &amp; LISTS'!$AD$30:$AD$436,$AA373))</f>
        <v/>
      </c>
      <c r="G373" s="18" t="str">
        <f>IF($AA373=0,"",INDEX('13 - DATA &amp; LISTS'!$AE$30:$AE$436,$AA373))</f>
        <v/>
      </c>
      <c r="H373" s="19" t="str">
        <f>IF($AA373=0,"",INDEX('13 - DATA &amp; LISTS'!$AF$30:$AF$436,$AA373))</f>
        <v/>
      </c>
      <c r="I373" s="18" t="str">
        <f>IF($AA373=0,"",INDEX('13 - DATA &amp; LISTS'!$AG$30:$AG$436,$AA373))</f>
        <v/>
      </c>
      <c r="J373" s="18" t="str">
        <f>IF($AA373=0,"",INDEX('13 - DATA &amp; LISTS'!$AH$30:$AH$436,$AA373))</f>
        <v/>
      </c>
      <c r="K373" s="18" t="str">
        <f>IF($AA373=0,"",INDEX('13 - DATA &amp; LISTS'!$AI$30:$AI$436,$AA373))</f>
        <v/>
      </c>
      <c r="AA373">
        <f>IF(COUNTIF('13 - DATA &amp; LISTS'!$AK$30:$AK$436,"&lt;999999999999")&lt;365,0,MATCH(SMALL('13 - DATA &amp; LISTS'!$AK$30:$AK$436,365),'13 - DATA &amp; LISTS'!$AK$30:$AK$436,0))</f>
        <v>0</v>
      </c>
    </row>
    <row r="374" spans="1:27" ht="63.95" customHeight="1">
      <c r="A374" s="18" t="str">
        <f>IF($AA374=0,"",INDEX('13 - DATA &amp; LISTS'!$Y$30:$Y$436,$AA374))</f>
        <v/>
      </c>
      <c r="B374" s="18" t="str">
        <f>IF($AA374=0,"",INDEX('13 - DATA &amp; LISTS'!$Z$30:$Z$436,$AA374))</f>
        <v/>
      </c>
      <c r="C374" s="18" t="str">
        <f>IF($AA374=0,"",INDEX('13 - DATA &amp; LISTS'!$AA$30:$AA$436,$AA374))</f>
        <v/>
      </c>
      <c r="D374" s="18" t="str">
        <f>IF($AA374=0,"",INDEX('13 - DATA &amp; LISTS'!$AB$30:$AB$436,$AA374))</f>
        <v/>
      </c>
      <c r="E374" s="18" t="str">
        <f>IF($AA374=0,"",INDEX('13 - DATA &amp; LISTS'!$AC$30:$AC$436,$AA374))</f>
        <v/>
      </c>
      <c r="F374" s="18" t="str">
        <f>IF($AA374=0,"",INDEX('13 - DATA &amp; LISTS'!$AD$30:$AD$436,$AA374))</f>
        <v/>
      </c>
      <c r="G374" s="18" t="str">
        <f>IF($AA374=0,"",INDEX('13 - DATA &amp; LISTS'!$AE$30:$AE$436,$AA374))</f>
        <v/>
      </c>
      <c r="H374" s="19" t="str">
        <f>IF($AA374=0,"",INDEX('13 - DATA &amp; LISTS'!$AF$30:$AF$436,$AA374))</f>
        <v/>
      </c>
      <c r="I374" s="18" t="str">
        <f>IF($AA374=0,"",INDEX('13 - DATA &amp; LISTS'!$AG$30:$AG$436,$AA374))</f>
        <v/>
      </c>
      <c r="J374" s="18" t="str">
        <f>IF($AA374=0,"",INDEX('13 - DATA &amp; LISTS'!$AH$30:$AH$436,$AA374))</f>
        <v/>
      </c>
      <c r="K374" s="18" t="str">
        <f>IF($AA374=0,"",INDEX('13 - DATA &amp; LISTS'!$AI$30:$AI$436,$AA374))</f>
        <v/>
      </c>
      <c r="AA374">
        <f>IF(COUNTIF('13 - DATA &amp; LISTS'!$AK$30:$AK$436,"&lt;999999999999")&lt;366,0,MATCH(SMALL('13 - DATA &amp; LISTS'!$AK$30:$AK$436,366),'13 - DATA &amp; LISTS'!$AK$30:$AK$436,0))</f>
        <v>0</v>
      </c>
    </row>
    <row r="375" spans="1:27" ht="63.95" customHeight="1">
      <c r="A375" s="18" t="str">
        <f>IF($AA375=0,"",INDEX('13 - DATA &amp; LISTS'!$Y$30:$Y$436,$AA375))</f>
        <v/>
      </c>
      <c r="B375" s="18" t="str">
        <f>IF($AA375=0,"",INDEX('13 - DATA &amp; LISTS'!$Z$30:$Z$436,$AA375))</f>
        <v/>
      </c>
      <c r="C375" s="18" t="str">
        <f>IF($AA375=0,"",INDEX('13 - DATA &amp; LISTS'!$AA$30:$AA$436,$AA375))</f>
        <v/>
      </c>
      <c r="D375" s="18" t="str">
        <f>IF($AA375=0,"",INDEX('13 - DATA &amp; LISTS'!$AB$30:$AB$436,$AA375))</f>
        <v/>
      </c>
      <c r="E375" s="18" t="str">
        <f>IF($AA375=0,"",INDEX('13 - DATA &amp; LISTS'!$AC$30:$AC$436,$AA375))</f>
        <v/>
      </c>
      <c r="F375" s="18" t="str">
        <f>IF($AA375=0,"",INDEX('13 - DATA &amp; LISTS'!$AD$30:$AD$436,$AA375))</f>
        <v/>
      </c>
      <c r="G375" s="18" t="str">
        <f>IF($AA375=0,"",INDEX('13 - DATA &amp; LISTS'!$AE$30:$AE$436,$AA375))</f>
        <v/>
      </c>
      <c r="H375" s="19" t="str">
        <f>IF($AA375=0,"",INDEX('13 - DATA &amp; LISTS'!$AF$30:$AF$436,$AA375))</f>
        <v/>
      </c>
      <c r="I375" s="18" t="str">
        <f>IF($AA375=0,"",INDEX('13 - DATA &amp; LISTS'!$AG$30:$AG$436,$AA375))</f>
        <v/>
      </c>
      <c r="J375" s="18" t="str">
        <f>IF($AA375=0,"",INDEX('13 - DATA &amp; LISTS'!$AH$30:$AH$436,$AA375))</f>
        <v/>
      </c>
      <c r="K375" s="18" t="str">
        <f>IF($AA375=0,"",INDEX('13 - DATA &amp; LISTS'!$AI$30:$AI$436,$AA375))</f>
        <v/>
      </c>
      <c r="AA375">
        <f>IF(COUNTIF('13 - DATA &amp; LISTS'!$AK$30:$AK$436,"&lt;999999999999")&lt;367,0,MATCH(SMALL('13 - DATA &amp; LISTS'!$AK$30:$AK$436,367),'13 - DATA &amp; LISTS'!$AK$30:$AK$436,0))</f>
        <v>0</v>
      </c>
    </row>
    <row r="376" spans="1:27" ht="63.95" customHeight="1">
      <c r="A376" s="18" t="str">
        <f>IF($AA376=0,"",INDEX('13 - DATA &amp; LISTS'!$Y$30:$Y$436,$AA376))</f>
        <v/>
      </c>
      <c r="B376" s="18" t="str">
        <f>IF($AA376=0,"",INDEX('13 - DATA &amp; LISTS'!$Z$30:$Z$436,$AA376))</f>
        <v/>
      </c>
      <c r="C376" s="18" t="str">
        <f>IF($AA376=0,"",INDEX('13 - DATA &amp; LISTS'!$AA$30:$AA$436,$AA376))</f>
        <v/>
      </c>
      <c r="D376" s="18" t="str">
        <f>IF($AA376=0,"",INDEX('13 - DATA &amp; LISTS'!$AB$30:$AB$436,$AA376))</f>
        <v/>
      </c>
      <c r="E376" s="18" t="str">
        <f>IF($AA376=0,"",INDEX('13 - DATA &amp; LISTS'!$AC$30:$AC$436,$AA376))</f>
        <v/>
      </c>
      <c r="F376" s="18" t="str">
        <f>IF($AA376=0,"",INDEX('13 - DATA &amp; LISTS'!$AD$30:$AD$436,$AA376))</f>
        <v/>
      </c>
      <c r="G376" s="18" t="str">
        <f>IF($AA376=0,"",INDEX('13 - DATA &amp; LISTS'!$AE$30:$AE$436,$AA376))</f>
        <v/>
      </c>
      <c r="H376" s="19" t="str">
        <f>IF($AA376=0,"",INDEX('13 - DATA &amp; LISTS'!$AF$30:$AF$436,$AA376))</f>
        <v/>
      </c>
      <c r="I376" s="18" t="str">
        <f>IF($AA376=0,"",INDEX('13 - DATA &amp; LISTS'!$AG$30:$AG$436,$AA376))</f>
        <v/>
      </c>
      <c r="J376" s="18" t="str">
        <f>IF($AA376=0,"",INDEX('13 - DATA &amp; LISTS'!$AH$30:$AH$436,$AA376))</f>
        <v/>
      </c>
      <c r="K376" s="18" t="str">
        <f>IF($AA376=0,"",INDEX('13 - DATA &amp; LISTS'!$AI$30:$AI$436,$AA376))</f>
        <v/>
      </c>
      <c r="AA376">
        <f>IF(COUNTIF('13 - DATA &amp; LISTS'!$AK$30:$AK$436,"&lt;999999999999")&lt;368,0,MATCH(SMALL('13 - DATA &amp; LISTS'!$AK$30:$AK$436,368),'13 - DATA &amp; LISTS'!$AK$30:$AK$436,0))</f>
        <v>0</v>
      </c>
    </row>
    <row r="377" spans="1:27" ht="63.95" customHeight="1">
      <c r="A377" s="18" t="str">
        <f>IF($AA377=0,"",INDEX('13 - DATA &amp; LISTS'!$Y$30:$Y$436,$AA377))</f>
        <v/>
      </c>
      <c r="B377" s="18" t="str">
        <f>IF($AA377=0,"",INDEX('13 - DATA &amp; LISTS'!$Z$30:$Z$436,$AA377))</f>
        <v/>
      </c>
      <c r="C377" s="18" t="str">
        <f>IF($AA377=0,"",INDEX('13 - DATA &amp; LISTS'!$AA$30:$AA$436,$AA377))</f>
        <v/>
      </c>
      <c r="D377" s="18" t="str">
        <f>IF($AA377=0,"",INDEX('13 - DATA &amp; LISTS'!$AB$30:$AB$436,$AA377))</f>
        <v/>
      </c>
      <c r="E377" s="18" t="str">
        <f>IF($AA377=0,"",INDEX('13 - DATA &amp; LISTS'!$AC$30:$AC$436,$AA377))</f>
        <v/>
      </c>
      <c r="F377" s="18" t="str">
        <f>IF($AA377=0,"",INDEX('13 - DATA &amp; LISTS'!$AD$30:$AD$436,$AA377))</f>
        <v/>
      </c>
      <c r="G377" s="18" t="str">
        <f>IF($AA377=0,"",INDEX('13 - DATA &amp; LISTS'!$AE$30:$AE$436,$AA377))</f>
        <v/>
      </c>
      <c r="H377" s="19" t="str">
        <f>IF($AA377=0,"",INDEX('13 - DATA &amp; LISTS'!$AF$30:$AF$436,$AA377))</f>
        <v/>
      </c>
      <c r="I377" s="18" t="str">
        <f>IF($AA377=0,"",INDEX('13 - DATA &amp; LISTS'!$AG$30:$AG$436,$AA377))</f>
        <v/>
      </c>
      <c r="J377" s="18" t="str">
        <f>IF($AA377=0,"",INDEX('13 - DATA &amp; LISTS'!$AH$30:$AH$436,$AA377))</f>
        <v/>
      </c>
      <c r="K377" s="18" t="str">
        <f>IF($AA377=0,"",INDEX('13 - DATA &amp; LISTS'!$AI$30:$AI$436,$AA377))</f>
        <v/>
      </c>
      <c r="AA377">
        <f>IF(COUNTIF('13 - DATA &amp; LISTS'!$AK$30:$AK$436,"&lt;999999999999")&lt;369,0,MATCH(SMALL('13 - DATA &amp; LISTS'!$AK$30:$AK$436,369),'13 - DATA &amp; LISTS'!$AK$30:$AK$436,0))</f>
        <v>0</v>
      </c>
    </row>
    <row r="378" spans="1:27" ht="63.95" customHeight="1">
      <c r="A378" s="18" t="str">
        <f>IF($AA378=0,"",INDEX('13 - DATA &amp; LISTS'!$Y$30:$Y$436,$AA378))</f>
        <v/>
      </c>
      <c r="B378" s="18" t="str">
        <f>IF($AA378=0,"",INDEX('13 - DATA &amp; LISTS'!$Z$30:$Z$436,$AA378))</f>
        <v/>
      </c>
      <c r="C378" s="18" t="str">
        <f>IF($AA378=0,"",INDEX('13 - DATA &amp; LISTS'!$AA$30:$AA$436,$AA378))</f>
        <v/>
      </c>
      <c r="D378" s="18" t="str">
        <f>IF($AA378=0,"",INDEX('13 - DATA &amp; LISTS'!$AB$30:$AB$436,$AA378))</f>
        <v/>
      </c>
      <c r="E378" s="18" t="str">
        <f>IF($AA378=0,"",INDEX('13 - DATA &amp; LISTS'!$AC$30:$AC$436,$AA378))</f>
        <v/>
      </c>
      <c r="F378" s="18" t="str">
        <f>IF($AA378=0,"",INDEX('13 - DATA &amp; LISTS'!$AD$30:$AD$436,$AA378))</f>
        <v/>
      </c>
      <c r="G378" s="18" t="str">
        <f>IF($AA378=0,"",INDEX('13 - DATA &amp; LISTS'!$AE$30:$AE$436,$AA378))</f>
        <v/>
      </c>
      <c r="H378" s="19" t="str">
        <f>IF($AA378=0,"",INDEX('13 - DATA &amp; LISTS'!$AF$30:$AF$436,$AA378))</f>
        <v/>
      </c>
      <c r="I378" s="18" t="str">
        <f>IF($AA378=0,"",INDEX('13 - DATA &amp; LISTS'!$AG$30:$AG$436,$AA378))</f>
        <v/>
      </c>
      <c r="J378" s="18" t="str">
        <f>IF($AA378=0,"",INDEX('13 - DATA &amp; LISTS'!$AH$30:$AH$436,$AA378))</f>
        <v/>
      </c>
      <c r="K378" s="18" t="str">
        <f>IF($AA378=0,"",INDEX('13 - DATA &amp; LISTS'!$AI$30:$AI$436,$AA378))</f>
        <v/>
      </c>
      <c r="AA378">
        <f>IF(COUNTIF('13 - DATA &amp; LISTS'!$AK$30:$AK$436,"&lt;999999999999")&lt;370,0,MATCH(SMALL('13 - DATA &amp; LISTS'!$AK$30:$AK$436,370),'13 - DATA &amp; LISTS'!$AK$30:$AK$436,0))</f>
        <v>0</v>
      </c>
    </row>
    <row r="379" spans="1:27" ht="63.95" customHeight="1">
      <c r="A379" s="18" t="str">
        <f>IF($AA379=0,"",INDEX('13 - DATA &amp; LISTS'!$Y$30:$Y$436,$AA379))</f>
        <v/>
      </c>
      <c r="B379" s="18" t="str">
        <f>IF($AA379=0,"",INDEX('13 - DATA &amp; LISTS'!$Z$30:$Z$436,$AA379))</f>
        <v/>
      </c>
      <c r="C379" s="18" t="str">
        <f>IF($AA379=0,"",INDEX('13 - DATA &amp; LISTS'!$AA$30:$AA$436,$AA379))</f>
        <v/>
      </c>
      <c r="D379" s="18" t="str">
        <f>IF($AA379=0,"",INDEX('13 - DATA &amp; LISTS'!$AB$30:$AB$436,$AA379))</f>
        <v/>
      </c>
      <c r="E379" s="18" t="str">
        <f>IF($AA379=0,"",INDEX('13 - DATA &amp; LISTS'!$AC$30:$AC$436,$AA379))</f>
        <v/>
      </c>
      <c r="F379" s="18" t="str">
        <f>IF($AA379=0,"",INDEX('13 - DATA &amp; LISTS'!$AD$30:$AD$436,$AA379))</f>
        <v/>
      </c>
      <c r="G379" s="18" t="str">
        <f>IF($AA379=0,"",INDEX('13 - DATA &amp; LISTS'!$AE$30:$AE$436,$AA379))</f>
        <v/>
      </c>
      <c r="H379" s="19" t="str">
        <f>IF($AA379=0,"",INDEX('13 - DATA &amp; LISTS'!$AF$30:$AF$436,$AA379))</f>
        <v/>
      </c>
      <c r="I379" s="18" t="str">
        <f>IF($AA379=0,"",INDEX('13 - DATA &amp; LISTS'!$AG$30:$AG$436,$AA379))</f>
        <v/>
      </c>
      <c r="J379" s="18" t="str">
        <f>IF($AA379=0,"",INDEX('13 - DATA &amp; LISTS'!$AH$30:$AH$436,$AA379))</f>
        <v/>
      </c>
      <c r="K379" s="18" t="str">
        <f>IF($AA379=0,"",INDEX('13 - DATA &amp; LISTS'!$AI$30:$AI$436,$AA379))</f>
        <v/>
      </c>
      <c r="AA379">
        <f>IF(COUNTIF('13 - DATA &amp; LISTS'!$AK$30:$AK$436,"&lt;999999999999")&lt;371,0,MATCH(SMALL('13 - DATA &amp; LISTS'!$AK$30:$AK$436,371),'13 - DATA &amp; LISTS'!$AK$30:$AK$436,0))</f>
        <v>0</v>
      </c>
    </row>
    <row r="380" spans="1:27" ht="63.95" customHeight="1">
      <c r="A380" s="18" t="str">
        <f>IF($AA380=0,"",INDEX('13 - DATA &amp; LISTS'!$Y$30:$Y$436,$AA380))</f>
        <v/>
      </c>
      <c r="B380" s="18" t="str">
        <f>IF($AA380=0,"",INDEX('13 - DATA &amp; LISTS'!$Z$30:$Z$436,$AA380))</f>
        <v/>
      </c>
      <c r="C380" s="18" t="str">
        <f>IF($AA380=0,"",INDEX('13 - DATA &amp; LISTS'!$AA$30:$AA$436,$AA380))</f>
        <v/>
      </c>
      <c r="D380" s="18" t="str">
        <f>IF($AA380=0,"",INDEX('13 - DATA &amp; LISTS'!$AB$30:$AB$436,$AA380))</f>
        <v/>
      </c>
      <c r="E380" s="18" t="str">
        <f>IF($AA380=0,"",INDEX('13 - DATA &amp; LISTS'!$AC$30:$AC$436,$AA380))</f>
        <v/>
      </c>
      <c r="F380" s="18" t="str">
        <f>IF($AA380=0,"",INDEX('13 - DATA &amp; LISTS'!$AD$30:$AD$436,$AA380))</f>
        <v/>
      </c>
      <c r="G380" s="18" t="str">
        <f>IF($AA380=0,"",INDEX('13 - DATA &amp; LISTS'!$AE$30:$AE$436,$AA380))</f>
        <v/>
      </c>
      <c r="H380" s="19" t="str">
        <f>IF($AA380=0,"",INDEX('13 - DATA &amp; LISTS'!$AF$30:$AF$436,$AA380))</f>
        <v/>
      </c>
      <c r="I380" s="18" t="str">
        <f>IF($AA380=0,"",INDEX('13 - DATA &amp; LISTS'!$AG$30:$AG$436,$AA380))</f>
        <v/>
      </c>
      <c r="J380" s="18" t="str">
        <f>IF($AA380=0,"",INDEX('13 - DATA &amp; LISTS'!$AH$30:$AH$436,$AA380))</f>
        <v/>
      </c>
      <c r="K380" s="18" t="str">
        <f>IF($AA380=0,"",INDEX('13 - DATA &amp; LISTS'!$AI$30:$AI$436,$AA380))</f>
        <v/>
      </c>
      <c r="AA380">
        <f>IF(COUNTIF('13 - DATA &amp; LISTS'!$AK$30:$AK$436,"&lt;999999999999")&lt;372,0,MATCH(SMALL('13 - DATA &amp; LISTS'!$AK$30:$AK$436,372),'13 - DATA &amp; LISTS'!$AK$30:$AK$436,0))</f>
        <v>0</v>
      </c>
    </row>
    <row r="381" spans="1:27" ht="63.95" customHeight="1">
      <c r="A381" s="18" t="str">
        <f>IF($AA381=0,"",INDEX('13 - DATA &amp; LISTS'!$Y$30:$Y$436,$AA381))</f>
        <v/>
      </c>
      <c r="B381" s="18" t="str">
        <f>IF($AA381=0,"",INDEX('13 - DATA &amp; LISTS'!$Z$30:$Z$436,$AA381))</f>
        <v/>
      </c>
      <c r="C381" s="18" t="str">
        <f>IF($AA381=0,"",INDEX('13 - DATA &amp; LISTS'!$AA$30:$AA$436,$AA381))</f>
        <v/>
      </c>
      <c r="D381" s="18" t="str">
        <f>IF($AA381=0,"",INDEX('13 - DATA &amp; LISTS'!$AB$30:$AB$436,$AA381))</f>
        <v/>
      </c>
      <c r="E381" s="18" t="str">
        <f>IF($AA381=0,"",INDEX('13 - DATA &amp; LISTS'!$AC$30:$AC$436,$AA381))</f>
        <v/>
      </c>
      <c r="F381" s="18" t="str">
        <f>IF($AA381=0,"",INDEX('13 - DATA &amp; LISTS'!$AD$30:$AD$436,$AA381))</f>
        <v/>
      </c>
      <c r="G381" s="18" t="str">
        <f>IF($AA381=0,"",INDEX('13 - DATA &amp; LISTS'!$AE$30:$AE$436,$AA381))</f>
        <v/>
      </c>
      <c r="H381" s="19" t="str">
        <f>IF($AA381=0,"",INDEX('13 - DATA &amp; LISTS'!$AF$30:$AF$436,$AA381))</f>
        <v/>
      </c>
      <c r="I381" s="18" t="str">
        <f>IF($AA381=0,"",INDEX('13 - DATA &amp; LISTS'!$AG$30:$AG$436,$AA381))</f>
        <v/>
      </c>
      <c r="J381" s="18" t="str">
        <f>IF($AA381=0,"",INDEX('13 - DATA &amp; LISTS'!$AH$30:$AH$436,$AA381))</f>
        <v/>
      </c>
      <c r="K381" s="18" t="str">
        <f>IF($AA381=0,"",INDEX('13 - DATA &amp; LISTS'!$AI$30:$AI$436,$AA381))</f>
        <v/>
      </c>
      <c r="AA381">
        <f>IF(COUNTIF('13 - DATA &amp; LISTS'!$AK$30:$AK$436,"&lt;999999999999")&lt;373,0,MATCH(SMALL('13 - DATA &amp; LISTS'!$AK$30:$AK$436,373),'13 - DATA &amp; LISTS'!$AK$30:$AK$436,0))</f>
        <v>0</v>
      </c>
    </row>
    <row r="382" spans="1:27" ht="63.95" customHeight="1">
      <c r="A382" s="18" t="str">
        <f>IF($AA382=0,"",INDEX('13 - DATA &amp; LISTS'!$Y$30:$Y$436,$AA382))</f>
        <v/>
      </c>
      <c r="B382" s="18" t="str">
        <f>IF($AA382=0,"",INDEX('13 - DATA &amp; LISTS'!$Z$30:$Z$436,$AA382))</f>
        <v/>
      </c>
      <c r="C382" s="18" t="str">
        <f>IF($AA382=0,"",INDEX('13 - DATA &amp; LISTS'!$AA$30:$AA$436,$AA382))</f>
        <v/>
      </c>
      <c r="D382" s="18" t="str">
        <f>IF($AA382=0,"",INDEX('13 - DATA &amp; LISTS'!$AB$30:$AB$436,$AA382))</f>
        <v/>
      </c>
      <c r="E382" s="18" t="str">
        <f>IF($AA382=0,"",INDEX('13 - DATA &amp; LISTS'!$AC$30:$AC$436,$AA382))</f>
        <v/>
      </c>
      <c r="F382" s="18" t="str">
        <f>IF($AA382=0,"",INDEX('13 - DATA &amp; LISTS'!$AD$30:$AD$436,$AA382))</f>
        <v/>
      </c>
      <c r="G382" s="18" t="str">
        <f>IF($AA382=0,"",INDEX('13 - DATA &amp; LISTS'!$AE$30:$AE$436,$AA382))</f>
        <v/>
      </c>
      <c r="H382" s="19" t="str">
        <f>IF($AA382=0,"",INDEX('13 - DATA &amp; LISTS'!$AF$30:$AF$436,$AA382))</f>
        <v/>
      </c>
      <c r="I382" s="18" t="str">
        <f>IF($AA382=0,"",INDEX('13 - DATA &amp; LISTS'!$AG$30:$AG$436,$AA382))</f>
        <v/>
      </c>
      <c r="J382" s="18" t="str">
        <f>IF($AA382=0,"",INDEX('13 - DATA &amp; LISTS'!$AH$30:$AH$436,$AA382))</f>
        <v/>
      </c>
      <c r="K382" s="18" t="str">
        <f>IF($AA382=0,"",INDEX('13 - DATA &amp; LISTS'!$AI$30:$AI$436,$AA382))</f>
        <v/>
      </c>
      <c r="AA382">
        <f>IF(COUNTIF('13 - DATA &amp; LISTS'!$AK$30:$AK$436,"&lt;999999999999")&lt;374,0,MATCH(SMALL('13 - DATA &amp; LISTS'!$AK$30:$AK$436,374),'13 - DATA &amp; LISTS'!$AK$30:$AK$436,0))</f>
        <v>0</v>
      </c>
    </row>
    <row r="383" spans="1:27" ht="63.95" customHeight="1">
      <c r="A383" s="18" t="str">
        <f>IF($AA383=0,"",INDEX('13 - DATA &amp; LISTS'!$Y$30:$Y$436,$AA383))</f>
        <v/>
      </c>
      <c r="B383" s="18" t="str">
        <f>IF($AA383=0,"",INDEX('13 - DATA &amp; LISTS'!$Z$30:$Z$436,$AA383))</f>
        <v/>
      </c>
      <c r="C383" s="18" t="str">
        <f>IF($AA383=0,"",INDEX('13 - DATA &amp; LISTS'!$AA$30:$AA$436,$AA383))</f>
        <v/>
      </c>
      <c r="D383" s="18" t="str">
        <f>IF($AA383=0,"",INDEX('13 - DATA &amp; LISTS'!$AB$30:$AB$436,$AA383))</f>
        <v/>
      </c>
      <c r="E383" s="18" t="str">
        <f>IF($AA383=0,"",INDEX('13 - DATA &amp; LISTS'!$AC$30:$AC$436,$AA383))</f>
        <v/>
      </c>
      <c r="F383" s="18" t="str">
        <f>IF($AA383=0,"",INDEX('13 - DATA &amp; LISTS'!$AD$30:$AD$436,$AA383))</f>
        <v/>
      </c>
      <c r="G383" s="18" t="str">
        <f>IF($AA383=0,"",INDEX('13 - DATA &amp; LISTS'!$AE$30:$AE$436,$AA383))</f>
        <v/>
      </c>
      <c r="H383" s="19" t="str">
        <f>IF($AA383=0,"",INDEX('13 - DATA &amp; LISTS'!$AF$30:$AF$436,$AA383))</f>
        <v/>
      </c>
      <c r="I383" s="18" t="str">
        <f>IF($AA383=0,"",INDEX('13 - DATA &amp; LISTS'!$AG$30:$AG$436,$AA383))</f>
        <v/>
      </c>
      <c r="J383" s="18" t="str">
        <f>IF($AA383=0,"",INDEX('13 - DATA &amp; LISTS'!$AH$30:$AH$436,$AA383))</f>
        <v/>
      </c>
      <c r="K383" s="18" t="str">
        <f>IF($AA383=0,"",INDEX('13 - DATA &amp; LISTS'!$AI$30:$AI$436,$AA383))</f>
        <v/>
      </c>
      <c r="AA383">
        <f>IF(COUNTIF('13 - DATA &amp; LISTS'!$AK$30:$AK$436,"&lt;999999999999")&lt;375,0,MATCH(SMALL('13 - DATA &amp; LISTS'!$AK$30:$AK$436,375),'13 - DATA &amp; LISTS'!$AK$30:$AK$436,0))</f>
        <v>0</v>
      </c>
    </row>
    <row r="384" spans="1:27" ht="63.95" customHeight="1">
      <c r="A384" s="18" t="str">
        <f>IF($AA384=0,"",INDEX('13 - DATA &amp; LISTS'!$Y$30:$Y$436,$AA384))</f>
        <v/>
      </c>
      <c r="B384" s="18" t="str">
        <f>IF($AA384=0,"",INDEX('13 - DATA &amp; LISTS'!$Z$30:$Z$436,$AA384))</f>
        <v/>
      </c>
      <c r="C384" s="18" t="str">
        <f>IF($AA384=0,"",INDEX('13 - DATA &amp; LISTS'!$AA$30:$AA$436,$AA384))</f>
        <v/>
      </c>
      <c r="D384" s="18" t="str">
        <f>IF($AA384=0,"",INDEX('13 - DATA &amp; LISTS'!$AB$30:$AB$436,$AA384))</f>
        <v/>
      </c>
      <c r="E384" s="18" t="str">
        <f>IF($AA384=0,"",INDEX('13 - DATA &amp; LISTS'!$AC$30:$AC$436,$AA384))</f>
        <v/>
      </c>
      <c r="F384" s="18" t="str">
        <f>IF($AA384=0,"",INDEX('13 - DATA &amp; LISTS'!$AD$30:$AD$436,$AA384))</f>
        <v/>
      </c>
      <c r="G384" s="18" t="str">
        <f>IF($AA384=0,"",INDEX('13 - DATA &amp; LISTS'!$AE$30:$AE$436,$AA384))</f>
        <v/>
      </c>
      <c r="H384" s="19" t="str">
        <f>IF($AA384=0,"",INDEX('13 - DATA &amp; LISTS'!$AF$30:$AF$436,$AA384))</f>
        <v/>
      </c>
      <c r="I384" s="18" t="str">
        <f>IF($AA384=0,"",INDEX('13 - DATA &amp; LISTS'!$AG$30:$AG$436,$AA384))</f>
        <v/>
      </c>
      <c r="J384" s="18" t="str">
        <f>IF($AA384=0,"",INDEX('13 - DATA &amp; LISTS'!$AH$30:$AH$436,$AA384))</f>
        <v/>
      </c>
      <c r="K384" s="18" t="str">
        <f>IF($AA384=0,"",INDEX('13 - DATA &amp; LISTS'!$AI$30:$AI$436,$AA384))</f>
        <v/>
      </c>
      <c r="AA384">
        <f>IF(COUNTIF('13 - DATA &amp; LISTS'!$AK$30:$AK$436,"&lt;999999999999")&lt;376,0,MATCH(SMALL('13 - DATA &amp; LISTS'!$AK$30:$AK$436,376),'13 - DATA &amp; LISTS'!$AK$30:$AK$436,0))</f>
        <v>0</v>
      </c>
    </row>
    <row r="385" spans="1:27" ht="63.95" customHeight="1">
      <c r="A385" s="18" t="str">
        <f>IF($AA385=0,"",INDEX('13 - DATA &amp; LISTS'!$Y$30:$Y$436,$AA385))</f>
        <v/>
      </c>
      <c r="B385" s="18" t="str">
        <f>IF($AA385=0,"",INDEX('13 - DATA &amp; LISTS'!$Z$30:$Z$436,$AA385))</f>
        <v/>
      </c>
      <c r="C385" s="18" t="str">
        <f>IF($AA385=0,"",INDEX('13 - DATA &amp; LISTS'!$AA$30:$AA$436,$AA385))</f>
        <v/>
      </c>
      <c r="D385" s="18" t="str">
        <f>IF($AA385=0,"",INDEX('13 - DATA &amp; LISTS'!$AB$30:$AB$436,$AA385))</f>
        <v/>
      </c>
      <c r="E385" s="18" t="str">
        <f>IF($AA385=0,"",INDEX('13 - DATA &amp; LISTS'!$AC$30:$AC$436,$AA385))</f>
        <v/>
      </c>
      <c r="F385" s="18" t="str">
        <f>IF($AA385=0,"",INDEX('13 - DATA &amp; LISTS'!$AD$30:$AD$436,$AA385))</f>
        <v/>
      </c>
      <c r="G385" s="18" t="str">
        <f>IF($AA385=0,"",INDEX('13 - DATA &amp; LISTS'!$AE$30:$AE$436,$AA385))</f>
        <v/>
      </c>
      <c r="H385" s="19" t="str">
        <f>IF($AA385=0,"",INDEX('13 - DATA &amp; LISTS'!$AF$30:$AF$436,$AA385))</f>
        <v/>
      </c>
      <c r="I385" s="18" t="str">
        <f>IF($AA385=0,"",INDEX('13 - DATA &amp; LISTS'!$AG$30:$AG$436,$AA385))</f>
        <v/>
      </c>
      <c r="J385" s="18" t="str">
        <f>IF($AA385=0,"",INDEX('13 - DATA &amp; LISTS'!$AH$30:$AH$436,$AA385))</f>
        <v/>
      </c>
      <c r="K385" s="18" t="str">
        <f>IF($AA385=0,"",INDEX('13 - DATA &amp; LISTS'!$AI$30:$AI$436,$AA385))</f>
        <v/>
      </c>
      <c r="AA385">
        <f>IF(COUNTIF('13 - DATA &amp; LISTS'!$AK$30:$AK$436,"&lt;999999999999")&lt;377,0,MATCH(SMALL('13 - DATA &amp; LISTS'!$AK$30:$AK$436,377),'13 - DATA &amp; LISTS'!$AK$30:$AK$436,0))</f>
        <v>0</v>
      </c>
    </row>
    <row r="386" spans="1:27" ht="63.95" customHeight="1">
      <c r="A386" s="18" t="str">
        <f>IF($AA386=0,"",INDEX('13 - DATA &amp; LISTS'!$Y$30:$Y$436,$AA386))</f>
        <v/>
      </c>
      <c r="B386" s="18" t="str">
        <f>IF($AA386=0,"",INDEX('13 - DATA &amp; LISTS'!$Z$30:$Z$436,$AA386))</f>
        <v/>
      </c>
      <c r="C386" s="18" t="str">
        <f>IF($AA386=0,"",INDEX('13 - DATA &amp; LISTS'!$AA$30:$AA$436,$AA386))</f>
        <v/>
      </c>
      <c r="D386" s="18" t="str">
        <f>IF($AA386=0,"",INDEX('13 - DATA &amp; LISTS'!$AB$30:$AB$436,$AA386))</f>
        <v/>
      </c>
      <c r="E386" s="18" t="str">
        <f>IF($AA386=0,"",INDEX('13 - DATA &amp; LISTS'!$AC$30:$AC$436,$AA386))</f>
        <v/>
      </c>
      <c r="F386" s="18" t="str">
        <f>IF($AA386=0,"",INDEX('13 - DATA &amp; LISTS'!$AD$30:$AD$436,$AA386))</f>
        <v/>
      </c>
      <c r="G386" s="18" t="str">
        <f>IF($AA386=0,"",INDEX('13 - DATA &amp; LISTS'!$AE$30:$AE$436,$AA386))</f>
        <v/>
      </c>
      <c r="H386" s="19" t="str">
        <f>IF($AA386=0,"",INDEX('13 - DATA &amp; LISTS'!$AF$30:$AF$436,$AA386))</f>
        <v/>
      </c>
      <c r="I386" s="18" t="str">
        <f>IF($AA386=0,"",INDEX('13 - DATA &amp; LISTS'!$AG$30:$AG$436,$AA386))</f>
        <v/>
      </c>
      <c r="J386" s="18" t="str">
        <f>IF($AA386=0,"",INDEX('13 - DATA &amp; LISTS'!$AH$30:$AH$436,$AA386))</f>
        <v/>
      </c>
      <c r="K386" s="18" t="str">
        <f>IF($AA386=0,"",INDEX('13 - DATA &amp; LISTS'!$AI$30:$AI$436,$AA386))</f>
        <v/>
      </c>
      <c r="AA386">
        <f>IF(COUNTIF('13 - DATA &amp; LISTS'!$AK$30:$AK$436,"&lt;999999999999")&lt;378,0,MATCH(SMALL('13 - DATA &amp; LISTS'!$AK$30:$AK$436,378),'13 - DATA &amp; LISTS'!$AK$30:$AK$436,0))</f>
        <v>0</v>
      </c>
    </row>
    <row r="387" spans="1:27" ht="63.95" customHeight="1">
      <c r="A387" s="18" t="str">
        <f>IF($AA387=0,"",INDEX('13 - DATA &amp; LISTS'!$Y$30:$Y$436,$AA387))</f>
        <v/>
      </c>
      <c r="B387" s="18" t="str">
        <f>IF($AA387=0,"",INDEX('13 - DATA &amp; LISTS'!$Z$30:$Z$436,$AA387))</f>
        <v/>
      </c>
      <c r="C387" s="18" t="str">
        <f>IF($AA387=0,"",INDEX('13 - DATA &amp; LISTS'!$AA$30:$AA$436,$AA387))</f>
        <v/>
      </c>
      <c r="D387" s="18" t="str">
        <f>IF($AA387=0,"",INDEX('13 - DATA &amp; LISTS'!$AB$30:$AB$436,$AA387))</f>
        <v/>
      </c>
      <c r="E387" s="18" t="str">
        <f>IF($AA387=0,"",INDEX('13 - DATA &amp; LISTS'!$AC$30:$AC$436,$AA387))</f>
        <v/>
      </c>
      <c r="F387" s="18" t="str">
        <f>IF($AA387=0,"",INDEX('13 - DATA &amp; LISTS'!$AD$30:$AD$436,$AA387))</f>
        <v/>
      </c>
      <c r="G387" s="18" t="str">
        <f>IF($AA387=0,"",INDEX('13 - DATA &amp; LISTS'!$AE$30:$AE$436,$AA387))</f>
        <v/>
      </c>
      <c r="H387" s="19" t="str">
        <f>IF($AA387=0,"",INDEX('13 - DATA &amp; LISTS'!$AF$30:$AF$436,$AA387))</f>
        <v/>
      </c>
      <c r="I387" s="18" t="str">
        <f>IF($AA387=0,"",INDEX('13 - DATA &amp; LISTS'!$AG$30:$AG$436,$AA387))</f>
        <v/>
      </c>
      <c r="J387" s="18" t="str">
        <f>IF($AA387=0,"",INDEX('13 - DATA &amp; LISTS'!$AH$30:$AH$436,$AA387))</f>
        <v/>
      </c>
      <c r="K387" s="18" t="str">
        <f>IF($AA387=0,"",INDEX('13 - DATA &amp; LISTS'!$AI$30:$AI$436,$AA387))</f>
        <v/>
      </c>
      <c r="AA387">
        <f>IF(COUNTIF('13 - DATA &amp; LISTS'!$AK$30:$AK$436,"&lt;999999999999")&lt;379,0,MATCH(SMALL('13 - DATA &amp; LISTS'!$AK$30:$AK$436,379),'13 - DATA &amp; LISTS'!$AK$30:$AK$436,0))</f>
        <v>0</v>
      </c>
    </row>
    <row r="388" spans="1:27" ht="63.95" customHeight="1">
      <c r="A388" s="18" t="str">
        <f>IF($AA388=0,"",INDEX('13 - DATA &amp; LISTS'!$Y$30:$Y$436,$AA388))</f>
        <v/>
      </c>
      <c r="B388" s="18" t="str">
        <f>IF($AA388=0,"",INDEX('13 - DATA &amp; LISTS'!$Z$30:$Z$436,$AA388))</f>
        <v/>
      </c>
      <c r="C388" s="18" t="str">
        <f>IF($AA388=0,"",INDEX('13 - DATA &amp; LISTS'!$AA$30:$AA$436,$AA388))</f>
        <v/>
      </c>
      <c r="D388" s="18" t="str">
        <f>IF($AA388=0,"",INDEX('13 - DATA &amp; LISTS'!$AB$30:$AB$436,$AA388))</f>
        <v/>
      </c>
      <c r="E388" s="18" t="str">
        <f>IF($AA388=0,"",INDEX('13 - DATA &amp; LISTS'!$AC$30:$AC$436,$AA388))</f>
        <v/>
      </c>
      <c r="F388" s="18" t="str">
        <f>IF($AA388=0,"",INDEX('13 - DATA &amp; LISTS'!$AD$30:$AD$436,$AA388))</f>
        <v/>
      </c>
      <c r="G388" s="18" t="str">
        <f>IF($AA388=0,"",INDEX('13 - DATA &amp; LISTS'!$AE$30:$AE$436,$AA388))</f>
        <v/>
      </c>
      <c r="H388" s="19" t="str">
        <f>IF($AA388=0,"",INDEX('13 - DATA &amp; LISTS'!$AF$30:$AF$436,$AA388))</f>
        <v/>
      </c>
      <c r="I388" s="18" t="str">
        <f>IF($AA388=0,"",INDEX('13 - DATA &amp; LISTS'!$AG$30:$AG$436,$AA388))</f>
        <v/>
      </c>
      <c r="J388" s="18" t="str">
        <f>IF($AA388=0,"",INDEX('13 - DATA &amp; LISTS'!$AH$30:$AH$436,$AA388))</f>
        <v/>
      </c>
      <c r="K388" s="18" t="str">
        <f>IF($AA388=0,"",INDEX('13 - DATA &amp; LISTS'!$AI$30:$AI$436,$AA388))</f>
        <v/>
      </c>
      <c r="AA388">
        <f>IF(COUNTIF('13 - DATA &amp; LISTS'!$AK$30:$AK$436,"&lt;999999999999")&lt;380,0,MATCH(SMALL('13 - DATA &amp; LISTS'!$AK$30:$AK$436,380),'13 - DATA &amp; LISTS'!$AK$30:$AK$436,0))</f>
        <v>0</v>
      </c>
    </row>
    <row r="389" spans="1:27" ht="63.95" customHeight="1">
      <c r="A389" s="18" t="str">
        <f>IF($AA389=0,"",INDEX('13 - DATA &amp; LISTS'!$Y$30:$Y$436,$AA389))</f>
        <v/>
      </c>
      <c r="B389" s="18" t="str">
        <f>IF($AA389=0,"",INDEX('13 - DATA &amp; LISTS'!$Z$30:$Z$436,$AA389))</f>
        <v/>
      </c>
      <c r="C389" s="18" t="str">
        <f>IF($AA389=0,"",INDEX('13 - DATA &amp; LISTS'!$AA$30:$AA$436,$AA389))</f>
        <v/>
      </c>
      <c r="D389" s="18" t="str">
        <f>IF($AA389=0,"",INDEX('13 - DATA &amp; LISTS'!$AB$30:$AB$436,$AA389))</f>
        <v/>
      </c>
      <c r="E389" s="18" t="str">
        <f>IF($AA389=0,"",INDEX('13 - DATA &amp; LISTS'!$AC$30:$AC$436,$AA389))</f>
        <v/>
      </c>
      <c r="F389" s="18" t="str">
        <f>IF($AA389=0,"",INDEX('13 - DATA &amp; LISTS'!$AD$30:$AD$436,$AA389))</f>
        <v/>
      </c>
      <c r="G389" s="18" t="str">
        <f>IF($AA389=0,"",INDEX('13 - DATA &amp; LISTS'!$AE$30:$AE$436,$AA389))</f>
        <v/>
      </c>
      <c r="H389" s="19" t="str">
        <f>IF($AA389=0,"",INDEX('13 - DATA &amp; LISTS'!$AF$30:$AF$436,$AA389))</f>
        <v/>
      </c>
      <c r="I389" s="18" t="str">
        <f>IF($AA389=0,"",INDEX('13 - DATA &amp; LISTS'!$AG$30:$AG$436,$AA389))</f>
        <v/>
      </c>
      <c r="J389" s="18" t="str">
        <f>IF($AA389=0,"",INDEX('13 - DATA &amp; LISTS'!$AH$30:$AH$436,$AA389))</f>
        <v/>
      </c>
      <c r="K389" s="18" t="str">
        <f>IF($AA389=0,"",INDEX('13 - DATA &amp; LISTS'!$AI$30:$AI$436,$AA389))</f>
        <v/>
      </c>
      <c r="AA389">
        <f>IF(COUNTIF('13 - DATA &amp; LISTS'!$AK$30:$AK$436,"&lt;999999999999")&lt;381,0,MATCH(SMALL('13 - DATA &amp; LISTS'!$AK$30:$AK$436,381),'13 - DATA &amp; LISTS'!$AK$30:$AK$436,0))</f>
        <v>0</v>
      </c>
    </row>
    <row r="390" spans="1:27" ht="63.95" customHeight="1">
      <c r="A390" s="18" t="str">
        <f>IF($AA390=0,"",INDEX('13 - DATA &amp; LISTS'!$Y$30:$Y$436,$AA390))</f>
        <v/>
      </c>
      <c r="B390" s="18" t="str">
        <f>IF($AA390=0,"",INDEX('13 - DATA &amp; LISTS'!$Z$30:$Z$436,$AA390))</f>
        <v/>
      </c>
      <c r="C390" s="18" t="str">
        <f>IF($AA390=0,"",INDEX('13 - DATA &amp; LISTS'!$AA$30:$AA$436,$AA390))</f>
        <v/>
      </c>
      <c r="D390" s="18" t="str">
        <f>IF($AA390=0,"",INDEX('13 - DATA &amp; LISTS'!$AB$30:$AB$436,$AA390))</f>
        <v/>
      </c>
      <c r="E390" s="18" t="str">
        <f>IF($AA390=0,"",INDEX('13 - DATA &amp; LISTS'!$AC$30:$AC$436,$AA390))</f>
        <v/>
      </c>
      <c r="F390" s="18" t="str">
        <f>IF($AA390=0,"",INDEX('13 - DATA &amp; LISTS'!$AD$30:$AD$436,$AA390))</f>
        <v/>
      </c>
      <c r="G390" s="18" t="str">
        <f>IF($AA390=0,"",INDEX('13 - DATA &amp; LISTS'!$AE$30:$AE$436,$AA390))</f>
        <v/>
      </c>
      <c r="H390" s="19" t="str">
        <f>IF($AA390=0,"",INDEX('13 - DATA &amp; LISTS'!$AF$30:$AF$436,$AA390))</f>
        <v/>
      </c>
      <c r="I390" s="18" t="str">
        <f>IF($AA390=0,"",INDEX('13 - DATA &amp; LISTS'!$AG$30:$AG$436,$AA390))</f>
        <v/>
      </c>
      <c r="J390" s="18" t="str">
        <f>IF($AA390=0,"",INDEX('13 - DATA &amp; LISTS'!$AH$30:$AH$436,$AA390))</f>
        <v/>
      </c>
      <c r="K390" s="18" t="str">
        <f>IF($AA390=0,"",INDEX('13 - DATA &amp; LISTS'!$AI$30:$AI$436,$AA390))</f>
        <v/>
      </c>
      <c r="AA390">
        <f>IF(COUNTIF('13 - DATA &amp; LISTS'!$AK$30:$AK$436,"&lt;999999999999")&lt;382,0,MATCH(SMALL('13 - DATA &amp; LISTS'!$AK$30:$AK$436,382),'13 - DATA &amp; LISTS'!$AK$30:$AK$436,0))</f>
        <v>0</v>
      </c>
    </row>
    <row r="391" spans="1:27" ht="63.95" customHeight="1">
      <c r="A391" s="18" t="str">
        <f>IF($AA391=0,"",INDEX('13 - DATA &amp; LISTS'!$Y$30:$Y$436,$AA391))</f>
        <v/>
      </c>
      <c r="B391" s="18" t="str">
        <f>IF($AA391=0,"",INDEX('13 - DATA &amp; LISTS'!$Z$30:$Z$436,$AA391))</f>
        <v/>
      </c>
      <c r="C391" s="18" t="str">
        <f>IF($AA391=0,"",INDEX('13 - DATA &amp; LISTS'!$AA$30:$AA$436,$AA391))</f>
        <v/>
      </c>
      <c r="D391" s="18" t="str">
        <f>IF($AA391=0,"",INDEX('13 - DATA &amp; LISTS'!$AB$30:$AB$436,$AA391))</f>
        <v/>
      </c>
      <c r="E391" s="18" t="str">
        <f>IF($AA391=0,"",INDEX('13 - DATA &amp; LISTS'!$AC$30:$AC$436,$AA391))</f>
        <v/>
      </c>
      <c r="F391" s="18" t="str">
        <f>IF($AA391=0,"",INDEX('13 - DATA &amp; LISTS'!$AD$30:$AD$436,$AA391))</f>
        <v/>
      </c>
      <c r="G391" s="18" t="str">
        <f>IF($AA391=0,"",INDEX('13 - DATA &amp; LISTS'!$AE$30:$AE$436,$AA391))</f>
        <v/>
      </c>
      <c r="H391" s="19" t="str">
        <f>IF($AA391=0,"",INDEX('13 - DATA &amp; LISTS'!$AF$30:$AF$436,$AA391))</f>
        <v/>
      </c>
      <c r="I391" s="18" t="str">
        <f>IF($AA391=0,"",INDEX('13 - DATA &amp; LISTS'!$AG$30:$AG$436,$AA391))</f>
        <v/>
      </c>
      <c r="J391" s="18" t="str">
        <f>IF($AA391=0,"",INDEX('13 - DATA &amp; LISTS'!$AH$30:$AH$436,$AA391))</f>
        <v/>
      </c>
      <c r="K391" s="18" t="str">
        <f>IF($AA391=0,"",INDEX('13 - DATA &amp; LISTS'!$AI$30:$AI$436,$AA391))</f>
        <v/>
      </c>
      <c r="AA391">
        <f>IF(COUNTIF('13 - DATA &amp; LISTS'!$AK$30:$AK$436,"&lt;999999999999")&lt;383,0,MATCH(SMALL('13 - DATA &amp; LISTS'!$AK$30:$AK$436,383),'13 - DATA &amp; LISTS'!$AK$30:$AK$436,0))</f>
        <v>0</v>
      </c>
    </row>
    <row r="392" spans="1:27" ht="63.95" customHeight="1">
      <c r="A392" s="18" t="str">
        <f>IF($AA392=0,"",INDEX('13 - DATA &amp; LISTS'!$Y$30:$Y$436,$AA392))</f>
        <v/>
      </c>
      <c r="B392" s="18" t="str">
        <f>IF($AA392=0,"",INDEX('13 - DATA &amp; LISTS'!$Z$30:$Z$436,$AA392))</f>
        <v/>
      </c>
      <c r="C392" s="18" t="str">
        <f>IF($AA392=0,"",INDEX('13 - DATA &amp; LISTS'!$AA$30:$AA$436,$AA392))</f>
        <v/>
      </c>
      <c r="D392" s="18" t="str">
        <f>IF($AA392=0,"",INDEX('13 - DATA &amp; LISTS'!$AB$30:$AB$436,$AA392))</f>
        <v/>
      </c>
      <c r="E392" s="18" t="str">
        <f>IF($AA392=0,"",INDEX('13 - DATA &amp; LISTS'!$AC$30:$AC$436,$AA392))</f>
        <v/>
      </c>
      <c r="F392" s="18" t="str">
        <f>IF($AA392=0,"",INDEX('13 - DATA &amp; LISTS'!$AD$30:$AD$436,$AA392))</f>
        <v/>
      </c>
      <c r="G392" s="18" t="str">
        <f>IF($AA392=0,"",INDEX('13 - DATA &amp; LISTS'!$AE$30:$AE$436,$AA392))</f>
        <v/>
      </c>
      <c r="H392" s="19" t="str">
        <f>IF($AA392=0,"",INDEX('13 - DATA &amp; LISTS'!$AF$30:$AF$436,$AA392))</f>
        <v/>
      </c>
      <c r="I392" s="18" t="str">
        <f>IF($AA392=0,"",INDEX('13 - DATA &amp; LISTS'!$AG$30:$AG$436,$AA392))</f>
        <v/>
      </c>
      <c r="J392" s="18" t="str">
        <f>IF($AA392=0,"",INDEX('13 - DATA &amp; LISTS'!$AH$30:$AH$436,$AA392))</f>
        <v/>
      </c>
      <c r="K392" s="18" t="str">
        <f>IF($AA392=0,"",INDEX('13 - DATA &amp; LISTS'!$AI$30:$AI$436,$AA392))</f>
        <v/>
      </c>
      <c r="AA392">
        <f>IF(COUNTIF('13 - DATA &amp; LISTS'!$AK$30:$AK$436,"&lt;999999999999")&lt;384,0,MATCH(SMALL('13 - DATA &amp; LISTS'!$AK$30:$AK$436,384),'13 - DATA &amp; LISTS'!$AK$30:$AK$436,0))</f>
        <v>0</v>
      </c>
    </row>
    <row r="393" spans="1:27" ht="63.95" customHeight="1">
      <c r="A393" s="18" t="str">
        <f>IF($AA393=0,"",INDEX('13 - DATA &amp; LISTS'!$Y$30:$Y$436,$AA393))</f>
        <v/>
      </c>
      <c r="B393" s="18" t="str">
        <f>IF($AA393=0,"",INDEX('13 - DATA &amp; LISTS'!$Z$30:$Z$436,$AA393))</f>
        <v/>
      </c>
      <c r="C393" s="18" t="str">
        <f>IF($AA393=0,"",INDEX('13 - DATA &amp; LISTS'!$AA$30:$AA$436,$AA393))</f>
        <v/>
      </c>
      <c r="D393" s="18" t="str">
        <f>IF($AA393=0,"",INDEX('13 - DATA &amp; LISTS'!$AB$30:$AB$436,$AA393))</f>
        <v/>
      </c>
      <c r="E393" s="18" t="str">
        <f>IF($AA393=0,"",INDEX('13 - DATA &amp; LISTS'!$AC$30:$AC$436,$AA393))</f>
        <v/>
      </c>
      <c r="F393" s="18" t="str">
        <f>IF($AA393=0,"",INDEX('13 - DATA &amp; LISTS'!$AD$30:$AD$436,$AA393))</f>
        <v/>
      </c>
      <c r="G393" s="18" t="str">
        <f>IF($AA393=0,"",INDEX('13 - DATA &amp; LISTS'!$AE$30:$AE$436,$AA393))</f>
        <v/>
      </c>
      <c r="H393" s="19" t="str">
        <f>IF($AA393=0,"",INDEX('13 - DATA &amp; LISTS'!$AF$30:$AF$436,$AA393))</f>
        <v/>
      </c>
      <c r="I393" s="18" t="str">
        <f>IF($AA393=0,"",INDEX('13 - DATA &amp; LISTS'!$AG$30:$AG$436,$AA393))</f>
        <v/>
      </c>
      <c r="J393" s="18" t="str">
        <f>IF($AA393=0,"",INDEX('13 - DATA &amp; LISTS'!$AH$30:$AH$436,$AA393))</f>
        <v/>
      </c>
      <c r="K393" s="18" t="str">
        <f>IF($AA393=0,"",INDEX('13 - DATA &amp; LISTS'!$AI$30:$AI$436,$AA393))</f>
        <v/>
      </c>
      <c r="AA393">
        <f>IF(COUNTIF('13 - DATA &amp; LISTS'!$AK$30:$AK$436,"&lt;999999999999")&lt;385,0,MATCH(SMALL('13 - DATA &amp; LISTS'!$AK$30:$AK$436,385),'13 - DATA &amp; LISTS'!$AK$30:$AK$436,0))</f>
        <v>0</v>
      </c>
    </row>
    <row r="394" spans="1:27" ht="63.95" customHeight="1">
      <c r="A394" s="18" t="str">
        <f>IF($AA394=0,"",INDEX('13 - DATA &amp; LISTS'!$Y$30:$Y$436,$AA394))</f>
        <v/>
      </c>
      <c r="B394" s="18" t="str">
        <f>IF($AA394=0,"",INDEX('13 - DATA &amp; LISTS'!$Z$30:$Z$436,$AA394))</f>
        <v/>
      </c>
      <c r="C394" s="18" t="str">
        <f>IF($AA394=0,"",INDEX('13 - DATA &amp; LISTS'!$AA$30:$AA$436,$AA394))</f>
        <v/>
      </c>
      <c r="D394" s="18" t="str">
        <f>IF($AA394=0,"",INDEX('13 - DATA &amp; LISTS'!$AB$30:$AB$436,$AA394))</f>
        <v/>
      </c>
      <c r="E394" s="18" t="str">
        <f>IF($AA394=0,"",INDEX('13 - DATA &amp; LISTS'!$AC$30:$AC$436,$AA394))</f>
        <v/>
      </c>
      <c r="F394" s="18" t="str">
        <f>IF($AA394=0,"",INDEX('13 - DATA &amp; LISTS'!$AD$30:$AD$436,$AA394))</f>
        <v/>
      </c>
      <c r="G394" s="18" t="str">
        <f>IF($AA394=0,"",INDEX('13 - DATA &amp; LISTS'!$AE$30:$AE$436,$AA394))</f>
        <v/>
      </c>
      <c r="H394" s="19" t="str">
        <f>IF($AA394=0,"",INDEX('13 - DATA &amp; LISTS'!$AF$30:$AF$436,$AA394))</f>
        <v/>
      </c>
      <c r="I394" s="18" t="str">
        <f>IF($AA394=0,"",INDEX('13 - DATA &amp; LISTS'!$AG$30:$AG$436,$AA394))</f>
        <v/>
      </c>
      <c r="J394" s="18" t="str">
        <f>IF($AA394=0,"",INDEX('13 - DATA &amp; LISTS'!$AH$30:$AH$436,$AA394))</f>
        <v/>
      </c>
      <c r="K394" s="18" t="str">
        <f>IF($AA394=0,"",INDEX('13 - DATA &amp; LISTS'!$AI$30:$AI$436,$AA394))</f>
        <v/>
      </c>
      <c r="AA394">
        <f>IF(COUNTIF('13 - DATA &amp; LISTS'!$AK$30:$AK$436,"&lt;999999999999")&lt;386,0,MATCH(SMALL('13 - DATA &amp; LISTS'!$AK$30:$AK$436,386),'13 - DATA &amp; LISTS'!$AK$30:$AK$436,0))</f>
        <v>0</v>
      </c>
    </row>
    <row r="395" spans="1:27" ht="63.95" customHeight="1">
      <c r="A395" s="18" t="str">
        <f>IF($AA395=0,"",INDEX('13 - DATA &amp; LISTS'!$Y$30:$Y$436,$AA395))</f>
        <v/>
      </c>
      <c r="B395" s="18" t="str">
        <f>IF($AA395=0,"",INDEX('13 - DATA &amp; LISTS'!$Z$30:$Z$436,$AA395))</f>
        <v/>
      </c>
      <c r="C395" s="18" t="str">
        <f>IF($AA395=0,"",INDEX('13 - DATA &amp; LISTS'!$AA$30:$AA$436,$AA395))</f>
        <v/>
      </c>
      <c r="D395" s="18" t="str">
        <f>IF($AA395=0,"",INDEX('13 - DATA &amp; LISTS'!$AB$30:$AB$436,$AA395))</f>
        <v/>
      </c>
      <c r="E395" s="18" t="str">
        <f>IF($AA395=0,"",INDEX('13 - DATA &amp; LISTS'!$AC$30:$AC$436,$AA395))</f>
        <v/>
      </c>
      <c r="F395" s="18" t="str">
        <f>IF($AA395=0,"",INDEX('13 - DATA &amp; LISTS'!$AD$30:$AD$436,$AA395))</f>
        <v/>
      </c>
      <c r="G395" s="18" t="str">
        <f>IF($AA395=0,"",INDEX('13 - DATA &amp; LISTS'!$AE$30:$AE$436,$AA395))</f>
        <v/>
      </c>
      <c r="H395" s="19" t="str">
        <f>IF($AA395=0,"",INDEX('13 - DATA &amp; LISTS'!$AF$30:$AF$436,$AA395))</f>
        <v/>
      </c>
      <c r="I395" s="18" t="str">
        <f>IF($AA395=0,"",INDEX('13 - DATA &amp; LISTS'!$AG$30:$AG$436,$AA395))</f>
        <v/>
      </c>
      <c r="J395" s="18" t="str">
        <f>IF($AA395=0,"",INDEX('13 - DATA &amp; LISTS'!$AH$30:$AH$436,$AA395))</f>
        <v/>
      </c>
      <c r="K395" s="18" t="str">
        <f>IF($AA395=0,"",INDEX('13 - DATA &amp; LISTS'!$AI$30:$AI$436,$AA395))</f>
        <v/>
      </c>
      <c r="AA395">
        <f>IF(COUNTIF('13 - DATA &amp; LISTS'!$AK$30:$AK$436,"&lt;999999999999")&lt;387,0,MATCH(SMALL('13 - DATA &amp; LISTS'!$AK$30:$AK$436,387),'13 - DATA &amp; LISTS'!$AK$30:$AK$436,0))</f>
        <v>0</v>
      </c>
    </row>
    <row r="396" spans="1:27" ht="63.95" customHeight="1">
      <c r="A396" s="18" t="str">
        <f>IF($AA396=0,"",INDEX('13 - DATA &amp; LISTS'!$Y$30:$Y$436,$AA396))</f>
        <v/>
      </c>
      <c r="B396" s="18" t="str">
        <f>IF($AA396=0,"",INDEX('13 - DATA &amp; LISTS'!$Z$30:$Z$436,$AA396))</f>
        <v/>
      </c>
      <c r="C396" s="18" t="str">
        <f>IF($AA396=0,"",INDEX('13 - DATA &amp; LISTS'!$AA$30:$AA$436,$AA396))</f>
        <v/>
      </c>
      <c r="D396" s="18" t="str">
        <f>IF($AA396=0,"",INDEX('13 - DATA &amp; LISTS'!$AB$30:$AB$436,$AA396))</f>
        <v/>
      </c>
      <c r="E396" s="18" t="str">
        <f>IF($AA396=0,"",INDEX('13 - DATA &amp; LISTS'!$AC$30:$AC$436,$AA396))</f>
        <v/>
      </c>
      <c r="F396" s="18" t="str">
        <f>IF($AA396=0,"",INDEX('13 - DATA &amp; LISTS'!$AD$30:$AD$436,$AA396))</f>
        <v/>
      </c>
      <c r="G396" s="18" t="str">
        <f>IF($AA396=0,"",INDEX('13 - DATA &amp; LISTS'!$AE$30:$AE$436,$AA396))</f>
        <v/>
      </c>
      <c r="H396" s="19" t="str">
        <f>IF($AA396=0,"",INDEX('13 - DATA &amp; LISTS'!$AF$30:$AF$436,$AA396))</f>
        <v/>
      </c>
      <c r="I396" s="18" t="str">
        <f>IF($AA396=0,"",INDEX('13 - DATA &amp; LISTS'!$AG$30:$AG$436,$AA396))</f>
        <v/>
      </c>
      <c r="J396" s="18" t="str">
        <f>IF($AA396=0,"",INDEX('13 - DATA &amp; LISTS'!$AH$30:$AH$436,$AA396))</f>
        <v/>
      </c>
      <c r="K396" s="18" t="str">
        <f>IF($AA396=0,"",INDEX('13 - DATA &amp; LISTS'!$AI$30:$AI$436,$AA396))</f>
        <v/>
      </c>
      <c r="AA396">
        <f>IF(COUNTIF('13 - DATA &amp; LISTS'!$AK$30:$AK$436,"&lt;999999999999")&lt;388,0,MATCH(SMALL('13 - DATA &amp; LISTS'!$AK$30:$AK$436,388),'13 - DATA &amp; LISTS'!$AK$30:$AK$436,0))</f>
        <v>0</v>
      </c>
    </row>
    <row r="397" spans="1:27" ht="63.95" customHeight="1">
      <c r="A397" s="18" t="str">
        <f>IF($AA397=0,"",INDEX('13 - DATA &amp; LISTS'!$Y$30:$Y$436,$AA397))</f>
        <v/>
      </c>
      <c r="B397" s="18" t="str">
        <f>IF($AA397=0,"",INDEX('13 - DATA &amp; LISTS'!$Z$30:$Z$436,$AA397))</f>
        <v/>
      </c>
      <c r="C397" s="18" t="str">
        <f>IF($AA397=0,"",INDEX('13 - DATA &amp; LISTS'!$AA$30:$AA$436,$AA397))</f>
        <v/>
      </c>
      <c r="D397" s="18" t="str">
        <f>IF($AA397=0,"",INDEX('13 - DATA &amp; LISTS'!$AB$30:$AB$436,$AA397))</f>
        <v/>
      </c>
      <c r="E397" s="18" t="str">
        <f>IF($AA397=0,"",INDEX('13 - DATA &amp; LISTS'!$AC$30:$AC$436,$AA397))</f>
        <v/>
      </c>
      <c r="F397" s="18" t="str">
        <f>IF($AA397=0,"",INDEX('13 - DATA &amp; LISTS'!$AD$30:$AD$436,$AA397))</f>
        <v/>
      </c>
      <c r="G397" s="18" t="str">
        <f>IF($AA397=0,"",INDEX('13 - DATA &amp; LISTS'!$AE$30:$AE$436,$AA397))</f>
        <v/>
      </c>
      <c r="H397" s="19" t="str">
        <f>IF($AA397=0,"",INDEX('13 - DATA &amp; LISTS'!$AF$30:$AF$436,$AA397))</f>
        <v/>
      </c>
      <c r="I397" s="18" t="str">
        <f>IF($AA397=0,"",INDEX('13 - DATA &amp; LISTS'!$AG$30:$AG$436,$AA397))</f>
        <v/>
      </c>
      <c r="J397" s="18" t="str">
        <f>IF($AA397=0,"",INDEX('13 - DATA &amp; LISTS'!$AH$30:$AH$436,$AA397))</f>
        <v/>
      </c>
      <c r="K397" s="18" t="str">
        <f>IF($AA397=0,"",INDEX('13 - DATA &amp; LISTS'!$AI$30:$AI$436,$AA397))</f>
        <v/>
      </c>
      <c r="AA397">
        <f>IF(COUNTIF('13 - DATA &amp; LISTS'!$AK$30:$AK$436,"&lt;999999999999")&lt;389,0,MATCH(SMALL('13 - DATA &amp; LISTS'!$AK$30:$AK$436,389),'13 - DATA &amp; LISTS'!$AK$30:$AK$436,0))</f>
        <v>0</v>
      </c>
    </row>
    <row r="398" spans="1:27" ht="63.95" customHeight="1">
      <c r="A398" s="18" t="str">
        <f>IF($AA398=0,"",INDEX('13 - DATA &amp; LISTS'!$Y$30:$Y$436,$AA398))</f>
        <v/>
      </c>
      <c r="B398" s="18" t="str">
        <f>IF($AA398=0,"",INDEX('13 - DATA &amp; LISTS'!$Z$30:$Z$436,$AA398))</f>
        <v/>
      </c>
      <c r="C398" s="18" t="str">
        <f>IF($AA398=0,"",INDEX('13 - DATA &amp; LISTS'!$AA$30:$AA$436,$AA398))</f>
        <v/>
      </c>
      <c r="D398" s="18" t="str">
        <f>IF($AA398=0,"",INDEX('13 - DATA &amp; LISTS'!$AB$30:$AB$436,$AA398))</f>
        <v/>
      </c>
      <c r="E398" s="18" t="str">
        <f>IF($AA398=0,"",INDEX('13 - DATA &amp; LISTS'!$AC$30:$AC$436,$AA398))</f>
        <v/>
      </c>
      <c r="F398" s="18" t="str">
        <f>IF($AA398=0,"",INDEX('13 - DATA &amp; LISTS'!$AD$30:$AD$436,$AA398))</f>
        <v/>
      </c>
      <c r="G398" s="18" t="str">
        <f>IF($AA398=0,"",INDEX('13 - DATA &amp; LISTS'!$AE$30:$AE$436,$AA398))</f>
        <v/>
      </c>
      <c r="H398" s="19" t="str">
        <f>IF($AA398=0,"",INDEX('13 - DATA &amp; LISTS'!$AF$30:$AF$436,$AA398))</f>
        <v/>
      </c>
      <c r="I398" s="18" t="str">
        <f>IF($AA398=0,"",INDEX('13 - DATA &amp; LISTS'!$AG$30:$AG$436,$AA398))</f>
        <v/>
      </c>
      <c r="J398" s="18" t="str">
        <f>IF($AA398=0,"",INDEX('13 - DATA &amp; LISTS'!$AH$30:$AH$436,$AA398))</f>
        <v/>
      </c>
      <c r="K398" s="18" t="str">
        <f>IF($AA398=0,"",INDEX('13 - DATA &amp; LISTS'!$AI$30:$AI$436,$AA398))</f>
        <v/>
      </c>
      <c r="AA398">
        <f>IF(COUNTIF('13 - DATA &amp; LISTS'!$AK$30:$AK$436,"&lt;999999999999")&lt;390,0,MATCH(SMALL('13 - DATA &amp; LISTS'!$AK$30:$AK$436,390),'13 - DATA &amp; LISTS'!$AK$30:$AK$436,0))</f>
        <v>0</v>
      </c>
    </row>
    <row r="399" spans="1:27" ht="63.95" customHeight="1">
      <c r="A399" s="18" t="str">
        <f>IF($AA399=0,"",INDEX('13 - DATA &amp; LISTS'!$Y$30:$Y$436,$AA399))</f>
        <v/>
      </c>
      <c r="B399" s="18" t="str">
        <f>IF($AA399=0,"",INDEX('13 - DATA &amp; LISTS'!$Z$30:$Z$436,$AA399))</f>
        <v/>
      </c>
      <c r="C399" s="18" t="str">
        <f>IF($AA399=0,"",INDEX('13 - DATA &amp; LISTS'!$AA$30:$AA$436,$AA399))</f>
        <v/>
      </c>
      <c r="D399" s="18" t="str">
        <f>IF($AA399=0,"",INDEX('13 - DATA &amp; LISTS'!$AB$30:$AB$436,$AA399))</f>
        <v/>
      </c>
      <c r="E399" s="18" t="str">
        <f>IF($AA399=0,"",INDEX('13 - DATA &amp; LISTS'!$AC$30:$AC$436,$AA399))</f>
        <v/>
      </c>
      <c r="F399" s="18" t="str">
        <f>IF($AA399=0,"",INDEX('13 - DATA &amp; LISTS'!$AD$30:$AD$436,$AA399))</f>
        <v/>
      </c>
      <c r="G399" s="18" t="str">
        <f>IF($AA399=0,"",INDEX('13 - DATA &amp; LISTS'!$AE$30:$AE$436,$AA399))</f>
        <v/>
      </c>
      <c r="H399" s="19" t="str">
        <f>IF($AA399=0,"",INDEX('13 - DATA &amp; LISTS'!$AF$30:$AF$436,$AA399))</f>
        <v/>
      </c>
      <c r="I399" s="18" t="str">
        <f>IF($AA399=0,"",INDEX('13 - DATA &amp; LISTS'!$AG$30:$AG$436,$AA399))</f>
        <v/>
      </c>
      <c r="J399" s="18" t="str">
        <f>IF($AA399=0,"",INDEX('13 - DATA &amp; LISTS'!$AH$30:$AH$436,$AA399))</f>
        <v/>
      </c>
      <c r="K399" s="18" t="str">
        <f>IF($AA399=0,"",INDEX('13 - DATA &amp; LISTS'!$AI$30:$AI$436,$AA399))</f>
        <v/>
      </c>
      <c r="AA399">
        <f>IF(COUNTIF('13 - DATA &amp; LISTS'!$AK$30:$AK$436,"&lt;999999999999")&lt;391,0,MATCH(SMALL('13 - DATA &amp; LISTS'!$AK$30:$AK$436,391),'13 - DATA &amp; LISTS'!$AK$30:$AK$436,0))</f>
        <v>0</v>
      </c>
    </row>
    <row r="400" spans="1:27" ht="63.95" customHeight="1">
      <c r="A400" s="18" t="str">
        <f>IF($AA400=0,"",INDEX('13 - DATA &amp; LISTS'!$Y$30:$Y$436,$AA400))</f>
        <v/>
      </c>
      <c r="B400" s="18" t="str">
        <f>IF($AA400=0,"",INDEX('13 - DATA &amp; LISTS'!$Z$30:$Z$436,$AA400))</f>
        <v/>
      </c>
      <c r="C400" s="18" t="str">
        <f>IF($AA400=0,"",INDEX('13 - DATA &amp; LISTS'!$AA$30:$AA$436,$AA400))</f>
        <v/>
      </c>
      <c r="D400" s="18" t="str">
        <f>IF($AA400=0,"",INDEX('13 - DATA &amp; LISTS'!$AB$30:$AB$436,$AA400))</f>
        <v/>
      </c>
      <c r="E400" s="18" t="str">
        <f>IF($AA400=0,"",INDEX('13 - DATA &amp; LISTS'!$AC$30:$AC$436,$AA400))</f>
        <v/>
      </c>
      <c r="F400" s="18" t="str">
        <f>IF($AA400=0,"",INDEX('13 - DATA &amp; LISTS'!$AD$30:$AD$436,$AA400))</f>
        <v/>
      </c>
      <c r="G400" s="18" t="str">
        <f>IF($AA400=0,"",INDEX('13 - DATA &amp; LISTS'!$AE$30:$AE$436,$AA400))</f>
        <v/>
      </c>
      <c r="H400" s="19" t="str">
        <f>IF($AA400=0,"",INDEX('13 - DATA &amp; LISTS'!$AF$30:$AF$436,$AA400))</f>
        <v/>
      </c>
      <c r="I400" s="18" t="str">
        <f>IF($AA400=0,"",INDEX('13 - DATA &amp; LISTS'!$AG$30:$AG$436,$AA400))</f>
        <v/>
      </c>
      <c r="J400" s="18" t="str">
        <f>IF($AA400=0,"",INDEX('13 - DATA &amp; LISTS'!$AH$30:$AH$436,$AA400))</f>
        <v/>
      </c>
      <c r="K400" s="18" t="str">
        <f>IF($AA400=0,"",INDEX('13 - DATA &amp; LISTS'!$AI$30:$AI$436,$AA400))</f>
        <v/>
      </c>
      <c r="AA400">
        <f>IF(COUNTIF('13 - DATA &amp; LISTS'!$AK$30:$AK$436,"&lt;999999999999")&lt;392,0,MATCH(SMALL('13 - DATA &amp; LISTS'!$AK$30:$AK$436,392),'13 - DATA &amp; LISTS'!$AK$30:$AK$436,0))</f>
        <v>0</v>
      </c>
    </row>
    <row r="401" spans="1:27" ht="63.95" customHeight="1">
      <c r="A401" s="18" t="str">
        <f>IF($AA401=0,"",INDEX('13 - DATA &amp; LISTS'!$Y$30:$Y$436,$AA401))</f>
        <v/>
      </c>
      <c r="B401" s="18" t="str">
        <f>IF($AA401=0,"",INDEX('13 - DATA &amp; LISTS'!$Z$30:$Z$436,$AA401))</f>
        <v/>
      </c>
      <c r="C401" s="18" t="str">
        <f>IF($AA401=0,"",INDEX('13 - DATA &amp; LISTS'!$AA$30:$AA$436,$AA401))</f>
        <v/>
      </c>
      <c r="D401" s="18" t="str">
        <f>IF($AA401=0,"",INDEX('13 - DATA &amp; LISTS'!$AB$30:$AB$436,$AA401))</f>
        <v/>
      </c>
      <c r="E401" s="18" t="str">
        <f>IF($AA401=0,"",INDEX('13 - DATA &amp; LISTS'!$AC$30:$AC$436,$AA401))</f>
        <v/>
      </c>
      <c r="F401" s="18" t="str">
        <f>IF($AA401=0,"",INDEX('13 - DATA &amp; LISTS'!$AD$30:$AD$436,$AA401))</f>
        <v/>
      </c>
      <c r="G401" s="18" t="str">
        <f>IF($AA401=0,"",INDEX('13 - DATA &amp; LISTS'!$AE$30:$AE$436,$AA401))</f>
        <v/>
      </c>
      <c r="H401" s="19" t="str">
        <f>IF($AA401=0,"",INDEX('13 - DATA &amp; LISTS'!$AF$30:$AF$436,$AA401))</f>
        <v/>
      </c>
      <c r="I401" s="18" t="str">
        <f>IF($AA401=0,"",INDEX('13 - DATA &amp; LISTS'!$AG$30:$AG$436,$AA401))</f>
        <v/>
      </c>
      <c r="J401" s="18" t="str">
        <f>IF($AA401=0,"",INDEX('13 - DATA &amp; LISTS'!$AH$30:$AH$436,$AA401))</f>
        <v/>
      </c>
      <c r="K401" s="18" t="str">
        <f>IF($AA401=0,"",INDEX('13 - DATA &amp; LISTS'!$AI$30:$AI$436,$AA401))</f>
        <v/>
      </c>
      <c r="AA401">
        <f>IF(COUNTIF('13 - DATA &amp; LISTS'!$AK$30:$AK$436,"&lt;999999999999")&lt;393,0,MATCH(SMALL('13 - DATA &amp; LISTS'!$AK$30:$AK$436,393),'13 - DATA &amp; LISTS'!$AK$30:$AK$436,0))</f>
        <v>0</v>
      </c>
    </row>
    <row r="402" spans="1:27" ht="63.95" customHeight="1">
      <c r="A402" s="18" t="str">
        <f>IF($AA402=0,"",INDEX('13 - DATA &amp; LISTS'!$Y$30:$Y$436,$AA402))</f>
        <v/>
      </c>
      <c r="B402" s="18" t="str">
        <f>IF($AA402=0,"",INDEX('13 - DATA &amp; LISTS'!$Z$30:$Z$436,$AA402))</f>
        <v/>
      </c>
      <c r="C402" s="18" t="str">
        <f>IF($AA402=0,"",INDEX('13 - DATA &amp; LISTS'!$AA$30:$AA$436,$AA402))</f>
        <v/>
      </c>
      <c r="D402" s="18" t="str">
        <f>IF($AA402=0,"",INDEX('13 - DATA &amp; LISTS'!$AB$30:$AB$436,$AA402))</f>
        <v/>
      </c>
      <c r="E402" s="18" t="str">
        <f>IF($AA402=0,"",INDEX('13 - DATA &amp; LISTS'!$AC$30:$AC$436,$AA402))</f>
        <v/>
      </c>
      <c r="F402" s="18" t="str">
        <f>IF($AA402=0,"",INDEX('13 - DATA &amp; LISTS'!$AD$30:$AD$436,$AA402))</f>
        <v/>
      </c>
      <c r="G402" s="18" t="str">
        <f>IF($AA402=0,"",INDEX('13 - DATA &amp; LISTS'!$AE$30:$AE$436,$AA402))</f>
        <v/>
      </c>
      <c r="H402" s="19" t="str">
        <f>IF($AA402=0,"",INDEX('13 - DATA &amp; LISTS'!$AF$30:$AF$436,$AA402))</f>
        <v/>
      </c>
      <c r="I402" s="18" t="str">
        <f>IF($AA402=0,"",INDEX('13 - DATA &amp; LISTS'!$AG$30:$AG$436,$AA402))</f>
        <v/>
      </c>
      <c r="J402" s="18" t="str">
        <f>IF($AA402=0,"",INDEX('13 - DATA &amp; LISTS'!$AH$30:$AH$436,$AA402))</f>
        <v/>
      </c>
      <c r="K402" s="18" t="str">
        <f>IF($AA402=0,"",INDEX('13 - DATA &amp; LISTS'!$AI$30:$AI$436,$AA402))</f>
        <v/>
      </c>
      <c r="AA402">
        <f>IF(COUNTIF('13 - DATA &amp; LISTS'!$AK$30:$AK$436,"&lt;999999999999")&lt;394,0,MATCH(SMALL('13 - DATA &amp; LISTS'!$AK$30:$AK$436,394),'13 - DATA &amp; LISTS'!$AK$30:$AK$436,0))</f>
        <v>0</v>
      </c>
    </row>
    <row r="403" spans="1:27" ht="63.95" customHeight="1">
      <c r="A403" s="18" t="str">
        <f>IF($AA403=0,"",INDEX('13 - DATA &amp; LISTS'!$Y$30:$Y$436,$AA403))</f>
        <v/>
      </c>
      <c r="B403" s="18" t="str">
        <f>IF($AA403=0,"",INDEX('13 - DATA &amp; LISTS'!$Z$30:$Z$436,$AA403))</f>
        <v/>
      </c>
      <c r="C403" s="18" t="str">
        <f>IF($AA403=0,"",INDEX('13 - DATA &amp; LISTS'!$AA$30:$AA$436,$AA403))</f>
        <v/>
      </c>
      <c r="D403" s="18" t="str">
        <f>IF($AA403=0,"",INDEX('13 - DATA &amp; LISTS'!$AB$30:$AB$436,$AA403))</f>
        <v/>
      </c>
      <c r="E403" s="18" t="str">
        <f>IF($AA403=0,"",INDEX('13 - DATA &amp; LISTS'!$AC$30:$AC$436,$AA403))</f>
        <v/>
      </c>
      <c r="F403" s="18" t="str">
        <f>IF($AA403=0,"",INDEX('13 - DATA &amp; LISTS'!$AD$30:$AD$436,$AA403))</f>
        <v/>
      </c>
      <c r="G403" s="18" t="str">
        <f>IF($AA403=0,"",INDEX('13 - DATA &amp; LISTS'!$AE$30:$AE$436,$AA403))</f>
        <v/>
      </c>
      <c r="H403" s="19" t="str">
        <f>IF($AA403=0,"",INDEX('13 - DATA &amp; LISTS'!$AF$30:$AF$436,$AA403))</f>
        <v/>
      </c>
      <c r="I403" s="18" t="str">
        <f>IF($AA403=0,"",INDEX('13 - DATA &amp; LISTS'!$AG$30:$AG$436,$AA403))</f>
        <v/>
      </c>
      <c r="J403" s="18" t="str">
        <f>IF($AA403=0,"",INDEX('13 - DATA &amp; LISTS'!$AH$30:$AH$436,$AA403))</f>
        <v/>
      </c>
      <c r="K403" s="18" t="str">
        <f>IF($AA403=0,"",INDEX('13 - DATA &amp; LISTS'!$AI$30:$AI$436,$AA403))</f>
        <v/>
      </c>
      <c r="AA403">
        <f>IF(COUNTIF('13 - DATA &amp; LISTS'!$AK$30:$AK$436,"&lt;999999999999")&lt;395,0,MATCH(SMALL('13 - DATA &amp; LISTS'!$AK$30:$AK$436,395),'13 - DATA &amp; LISTS'!$AK$30:$AK$436,0))</f>
        <v>0</v>
      </c>
    </row>
    <row r="404" spans="1:27" ht="63.95" customHeight="1">
      <c r="A404" s="18" t="str">
        <f>IF($AA404=0,"",INDEX('13 - DATA &amp; LISTS'!$Y$30:$Y$436,$AA404))</f>
        <v/>
      </c>
      <c r="B404" s="18" t="str">
        <f>IF($AA404=0,"",INDEX('13 - DATA &amp; LISTS'!$Z$30:$Z$436,$AA404))</f>
        <v/>
      </c>
      <c r="C404" s="18" t="str">
        <f>IF($AA404=0,"",INDEX('13 - DATA &amp; LISTS'!$AA$30:$AA$436,$AA404))</f>
        <v/>
      </c>
      <c r="D404" s="18" t="str">
        <f>IF($AA404=0,"",INDEX('13 - DATA &amp; LISTS'!$AB$30:$AB$436,$AA404))</f>
        <v/>
      </c>
      <c r="E404" s="18" t="str">
        <f>IF($AA404=0,"",INDEX('13 - DATA &amp; LISTS'!$AC$30:$AC$436,$AA404))</f>
        <v/>
      </c>
      <c r="F404" s="18" t="str">
        <f>IF($AA404=0,"",INDEX('13 - DATA &amp; LISTS'!$AD$30:$AD$436,$AA404))</f>
        <v/>
      </c>
      <c r="G404" s="18" t="str">
        <f>IF($AA404=0,"",INDEX('13 - DATA &amp; LISTS'!$AE$30:$AE$436,$AA404))</f>
        <v/>
      </c>
      <c r="H404" s="19" t="str">
        <f>IF($AA404=0,"",INDEX('13 - DATA &amp; LISTS'!$AF$30:$AF$436,$AA404))</f>
        <v/>
      </c>
      <c r="I404" s="18" t="str">
        <f>IF($AA404=0,"",INDEX('13 - DATA &amp; LISTS'!$AG$30:$AG$436,$AA404))</f>
        <v/>
      </c>
      <c r="J404" s="18" t="str">
        <f>IF($AA404=0,"",INDEX('13 - DATA &amp; LISTS'!$AH$30:$AH$436,$AA404))</f>
        <v/>
      </c>
      <c r="K404" s="18" t="str">
        <f>IF($AA404=0,"",INDEX('13 - DATA &amp; LISTS'!$AI$30:$AI$436,$AA404))</f>
        <v/>
      </c>
      <c r="AA404">
        <f>IF(COUNTIF('13 - DATA &amp; LISTS'!$AK$30:$AK$436,"&lt;999999999999")&lt;396,0,MATCH(SMALL('13 - DATA &amp; LISTS'!$AK$30:$AK$436,396),'13 - DATA &amp; LISTS'!$AK$30:$AK$436,0))</f>
        <v>0</v>
      </c>
    </row>
    <row r="405" spans="1:27" ht="63.95" customHeight="1">
      <c r="A405" s="18" t="str">
        <f>IF($AA405=0,"",INDEX('13 - DATA &amp; LISTS'!$Y$30:$Y$436,$AA405))</f>
        <v/>
      </c>
      <c r="B405" s="18" t="str">
        <f>IF($AA405=0,"",INDEX('13 - DATA &amp; LISTS'!$Z$30:$Z$436,$AA405))</f>
        <v/>
      </c>
      <c r="C405" s="18" t="str">
        <f>IF($AA405=0,"",INDEX('13 - DATA &amp; LISTS'!$AA$30:$AA$436,$AA405))</f>
        <v/>
      </c>
      <c r="D405" s="18" t="str">
        <f>IF($AA405=0,"",INDEX('13 - DATA &amp; LISTS'!$AB$30:$AB$436,$AA405))</f>
        <v/>
      </c>
      <c r="E405" s="18" t="str">
        <f>IF($AA405=0,"",INDEX('13 - DATA &amp; LISTS'!$AC$30:$AC$436,$AA405))</f>
        <v/>
      </c>
      <c r="F405" s="18" t="str">
        <f>IF($AA405=0,"",INDEX('13 - DATA &amp; LISTS'!$AD$30:$AD$436,$AA405))</f>
        <v/>
      </c>
      <c r="G405" s="18" t="str">
        <f>IF($AA405=0,"",INDEX('13 - DATA &amp; LISTS'!$AE$30:$AE$436,$AA405))</f>
        <v/>
      </c>
      <c r="H405" s="19" t="str">
        <f>IF($AA405=0,"",INDEX('13 - DATA &amp; LISTS'!$AF$30:$AF$436,$AA405))</f>
        <v/>
      </c>
      <c r="I405" s="18" t="str">
        <f>IF($AA405=0,"",INDEX('13 - DATA &amp; LISTS'!$AG$30:$AG$436,$AA405))</f>
        <v/>
      </c>
      <c r="J405" s="18" t="str">
        <f>IF($AA405=0,"",INDEX('13 - DATA &amp; LISTS'!$AH$30:$AH$436,$AA405))</f>
        <v/>
      </c>
      <c r="K405" s="18" t="str">
        <f>IF($AA405=0,"",INDEX('13 - DATA &amp; LISTS'!$AI$30:$AI$436,$AA405))</f>
        <v/>
      </c>
      <c r="AA405">
        <f>IF(COUNTIF('13 - DATA &amp; LISTS'!$AK$30:$AK$436,"&lt;999999999999")&lt;397,0,MATCH(SMALL('13 - DATA &amp; LISTS'!$AK$30:$AK$436,397),'13 - DATA &amp; LISTS'!$AK$30:$AK$436,0))</f>
        <v>0</v>
      </c>
    </row>
    <row r="406" spans="1:27" ht="63.95" customHeight="1">
      <c r="A406" s="18" t="str">
        <f>IF($AA406=0,"",INDEX('13 - DATA &amp; LISTS'!$Y$30:$Y$436,$AA406))</f>
        <v/>
      </c>
      <c r="B406" s="18" t="str">
        <f>IF($AA406=0,"",INDEX('13 - DATA &amp; LISTS'!$Z$30:$Z$436,$AA406))</f>
        <v/>
      </c>
      <c r="C406" s="18" t="str">
        <f>IF($AA406=0,"",INDEX('13 - DATA &amp; LISTS'!$AA$30:$AA$436,$AA406))</f>
        <v/>
      </c>
      <c r="D406" s="18" t="str">
        <f>IF($AA406=0,"",INDEX('13 - DATA &amp; LISTS'!$AB$30:$AB$436,$AA406))</f>
        <v/>
      </c>
      <c r="E406" s="18" t="str">
        <f>IF($AA406=0,"",INDEX('13 - DATA &amp; LISTS'!$AC$30:$AC$436,$AA406))</f>
        <v/>
      </c>
      <c r="F406" s="18" t="str">
        <f>IF($AA406=0,"",INDEX('13 - DATA &amp; LISTS'!$AD$30:$AD$436,$AA406))</f>
        <v/>
      </c>
      <c r="G406" s="18" t="str">
        <f>IF($AA406=0,"",INDEX('13 - DATA &amp; LISTS'!$AE$30:$AE$436,$AA406))</f>
        <v/>
      </c>
      <c r="H406" s="19" t="str">
        <f>IF($AA406=0,"",INDEX('13 - DATA &amp; LISTS'!$AF$30:$AF$436,$AA406))</f>
        <v/>
      </c>
      <c r="I406" s="18" t="str">
        <f>IF($AA406=0,"",INDEX('13 - DATA &amp; LISTS'!$AG$30:$AG$436,$AA406))</f>
        <v/>
      </c>
      <c r="J406" s="18" t="str">
        <f>IF($AA406=0,"",INDEX('13 - DATA &amp; LISTS'!$AH$30:$AH$436,$AA406))</f>
        <v/>
      </c>
      <c r="K406" s="18" t="str">
        <f>IF($AA406=0,"",INDEX('13 - DATA &amp; LISTS'!$AI$30:$AI$436,$AA406))</f>
        <v/>
      </c>
      <c r="AA406">
        <f>IF(COUNTIF('13 - DATA &amp; LISTS'!$AK$30:$AK$436,"&lt;999999999999")&lt;398,0,MATCH(SMALL('13 - DATA &amp; LISTS'!$AK$30:$AK$436,398),'13 - DATA &amp; LISTS'!$AK$30:$AK$436,0))</f>
        <v>0</v>
      </c>
    </row>
    <row r="407" spans="1:27" ht="63.95" customHeight="1">
      <c r="A407" s="18" t="str">
        <f>IF($AA407=0,"",INDEX('13 - DATA &amp; LISTS'!$Y$30:$Y$436,$AA407))</f>
        <v/>
      </c>
      <c r="B407" s="18" t="str">
        <f>IF($AA407=0,"",INDEX('13 - DATA &amp; LISTS'!$Z$30:$Z$436,$AA407))</f>
        <v/>
      </c>
      <c r="C407" s="18" t="str">
        <f>IF($AA407=0,"",INDEX('13 - DATA &amp; LISTS'!$AA$30:$AA$436,$AA407))</f>
        <v/>
      </c>
      <c r="D407" s="18" t="str">
        <f>IF($AA407=0,"",INDEX('13 - DATA &amp; LISTS'!$AB$30:$AB$436,$AA407))</f>
        <v/>
      </c>
      <c r="E407" s="18" t="str">
        <f>IF($AA407=0,"",INDEX('13 - DATA &amp; LISTS'!$AC$30:$AC$436,$AA407))</f>
        <v/>
      </c>
      <c r="F407" s="18" t="str">
        <f>IF($AA407=0,"",INDEX('13 - DATA &amp; LISTS'!$AD$30:$AD$436,$AA407))</f>
        <v/>
      </c>
      <c r="G407" s="18" t="str">
        <f>IF($AA407=0,"",INDEX('13 - DATA &amp; LISTS'!$AE$30:$AE$436,$AA407))</f>
        <v/>
      </c>
      <c r="H407" s="19" t="str">
        <f>IF($AA407=0,"",INDEX('13 - DATA &amp; LISTS'!$AF$30:$AF$436,$AA407))</f>
        <v/>
      </c>
      <c r="I407" s="18" t="str">
        <f>IF($AA407=0,"",INDEX('13 - DATA &amp; LISTS'!$AG$30:$AG$436,$AA407))</f>
        <v/>
      </c>
      <c r="J407" s="18" t="str">
        <f>IF($AA407=0,"",INDEX('13 - DATA &amp; LISTS'!$AH$30:$AH$436,$AA407))</f>
        <v/>
      </c>
      <c r="K407" s="18" t="str">
        <f>IF($AA407=0,"",INDEX('13 - DATA &amp; LISTS'!$AI$30:$AI$436,$AA407))</f>
        <v/>
      </c>
      <c r="AA407">
        <f>IF(COUNTIF('13 - DATA &amp; LISTS'!$AK$30:$AK$436,"&lt;999999999999")&lt;399,0,MATCH(SMALL('13 - DATA &amp; LISTS'!$AK$30:$AK$436,399),'13 - DATA &amp; LISTS'!$AK$30:$AK$436,0))</f>
        <v>0</v>
      </c>
    </row>
    <row r="408" spans="1:27" ht="63.95" customHeight="1">
      <c r="A408" s="18" t="str">
        <f>IF($AA408=0,"",INDEX('13 - DATA &amp; LISTS'!$Y$30:$Y$436,$AA408))</f>
        <v/>
      </c>
      <c r="B408" s="18" t="str">
        <f>IF($AA408=0,"",INDEX('13 - DATA &amp; LISTS'!$Z$30:$Z$436,$AA408))</f>
        <v/>
      </c>
      <c r="C408" s="18" t="str">
        <f>IF($AA408=0,"",INDEX('13 - DATA &amp; LISTS'!$AA$30:$AA$436,$AA408))</f>
        <v/>
      </c>
      <c r="D408" s="18" t="str">
        <f>IF($AA408=0,"",INDEX('13 - DATA &amp; LISTS'!$AB$30:$AB$436,$AA408))</f>
        <v/>
      </c>
      <c r="E408" s="18" t="str">
        <f>IF($AA408=0,"",INDEX('13 - DATA &amp; LISTS'!$AC$30:$AC$436,$AA408))</f>
        <v/>
      </c>
      <c r="F408" s="18" t="str">
        <f>IF($AA408=0,"",INDEX('13 - DATA &amp; LISTS'!$AD$30:$AD$436,$AA408))</f>
        <v/>
      </c>
      <c r="G408" s="18" t="str">
        <f>IF($AA408=0,"",INDEX('13 - DATA &amp; LISTS'!$AE$30:$AE$436,$AA408))</f>
        <v/>
      </c>
      <c r="H408" s="19" t="str">
        <f>IF($AA408=0,"",INDEX('13 - DATA &amp; LISTS'!$AF$30:$AF$436,$AA408))</f>
        <v/>
      </c>
      <c r="I408" s="18" t="str">
        <f>IF($AA408=0,"",INDEX('13 - DATA &amp; LISTS'!$AG$30:$AG$436,$AA408))</f>
        <v/>
      </c>
      <c r="J408" s="18" t="str">
        <f>IF($AA408=0,"",INDEX('13 - DATA &amp; LISTS'!$AH$30:$AH$436,$AA408))</f>
        <v/>
      </c>
      <c r="K408" s="18" t="str">
        <f>IF($AA408=0,"",INDEX('13 - DATA &amp; LISTS'!$AI$30:$AI$436,$AA408))</f>
        <v/>
      </c>
      <c r="AA408">
        <f>IF(COUNTIF('13 - DATA &amp; LISTS'!$AK$30:$AK$436,"&lt;999999999999")&lt;400,0,MATCH(SMALL('13 - DATA &amp; LISTS'!$AK$30:$AK$436,400),'13 - DATA &amp; LISTS'!$AK$30:$AK$436,0))</f>
        <v>0</v>
      </c>
    </row>
    <row r="409" spans="1:27" ht="63.95" customHeight="1">
      <c r="A409" s="18" t="str">
        <f>IF($AA409=0,"",INDEX('13 - DATA &amp; LISTS'!$Y$30:$Y$436,$AA409))</f>
        <v/>
      </c>
      <c r="B409" s="18" t="str">
        <f>IF($AA409=0,"",INDEX('13 - DATA &amp; LISTS'!$Z$30:$Z$436,$AA409))</f>
        <v/>
      </c>
      <c r="C409" s="18" t="str">
        <f>IF($AA409=0,"",INDEX('13 - DATA &amp; LISTS'!$AA$30:$AA$436,$AA409))</f>
        <v/>
      </c>
      <c r="D409" s="18" t="str">
        <f>IF($AA409=0,"",INDEX('13 - DATA &amp; LISTS'!$AB$30:$AB$436,$AA409))</f>
        <v/>
      </c>
      <c r="E409" s="18" t="str">
        <f>IF($AA409=0,"",INDEX('13 - DATA &amp; LISTS'!$AC$30:$AC$436,$AA409))</f>
        <v/>
      </c>
      <c r="F409" s="18" t="str">
        <f>IF($AA409=0,"",INDEX('13 - DATA &amp; LISTS'!$AD$30:$AD$436,$AA409))</f>
        <v/>
      </c>
      <c r="G409" s="18" t="str">
        <f>IF($AA409=0,"",INDEX('13 - DATA &amp; LISTS'!$AE$30:$AE$436,$AA409))</f>
        <v/>
      </c>
      <c r="H409" s="19" t="str">
        <f>IF($AA409=0,"",INDEX('13 - DATA &amp; LISTS'!$AF$30:$AF$436,$AA409))</f>
        <v/>
      </c>
      <c r="I409" s="18" t="str">
        <f>IF($AA409=0,"",INDEX('13 - DATA &amp; LISTS'!$AG$30:$AG$436,$AA409))</f>
        <v/>
      </c>
      <c r="J409" s="18" t="str">
        <f>IF($AA409=0,"",INDEX('13 - DATA &amp; LISTS'!$AH$30:$AH$436,$AA409))</f>
        <v/>
      </c>
      <c r="K409" s="18" t="str">
        <f>IF($AA409=0,"",INDEX('13 - DATA &amp; LISTS'!$AI$30:$AI$436,$AA409))</f>
        <v/>
      </c>
      <c r="AA409">
        <f>IF(COUNTIF('13 - DATA &amp; LISTS'!$AK$30:$AK$436,"&lt;999999999999")&lt;401,0,MATCH(SMALL('13 - DATA &amp; LISTS'!$AK$30:$AK$436,401),'13 - DATA &amp; LISTS'!$AK$30:$AK$436,0))</f>
        <v>0</v>
      </c>
    </row>
    <row r="410" spans="1:27" ht="63.95" customHeight="1">
      <c r="A410" s="18" t="str">
        <f>IF($AA410=0,"",INDEX('13 - DATA &amp; LISTS'!$Y$30:$Y$436,$AA410))</f>
        <v/>
      </c>
      <c r="B410" s="18" t="str">
        <f>IF($AA410=0,"",INDEX('13 - DATA &amp; LISTS'!$Z$30:$Z$436,$AA410))</f>
        <v/>
      </c>
      <c r="C410" s="18" t="str">
        <f>IF($AA410=0,"",INDEX('13 - DATA &amp; LISTS'!$AA$30:$AA$436,$AA410))</f>
        <v/>
      </c>
      <c r="D410" s="18" t="str">
        <f>IF($AA410=0,"",INDEX('13 - DATA &amp; LISTS'!$AB$30:$AB$436,$AA410))</f>
        <v/>
      </c>
      <c r="E410" s="18" t="str">
        <f>IF($AA410=0,"",INDEX('13 - DATA &amp; LISTS'!$AC$30:$AC$436,$AA410))</f>
        <v/>
      </c>
      <c r="F410" s="18" t="str">
        <f>IF($AA410=0,"",INDEX('13 - DATA &amp; LISTS'!$AD$30:$AD$436,$AA410))</f>
        <v/>
      </c>
      <c r="G410" s="18" t="str">
        <f>IF($AA410=0,"",INDEX('13 - DATA &amp; LISTS'!$AE$30:$AE$436,$AA410))</f>
        <v/>
      </c>
      <c r="H410" s="19" t="str">
        <f>IF($AA410=0,"",INDEX('13 - DATA &amp; LISTS'!$AF$30:$AF$436,$AA410))</f>
        <v/>
      </c>
      <c r="I410" s="18" t="str">
        <f>IF($AA410=0,"",INDEX('13 - DATA &amp; LISTS'!$AG$30:$AG$436,$AA410))</f>
        <v/>
      </c>
      <c r="J410" s="18" t="str">
        <f>IF($AA410=0,"",INDEX('13 - DATA &amp; LISTS'!$AH$30:$AH$436,$AA410))</f>
        <v/>
      </c>
      <c r="K410" s="18" t="str">
        <f>IF($AA410=0,"",INDEX('13 - DATA &amp; LISTS'!$AI$30:$AI$436,$AA410))</f>
        <v/>
      </c>
      <c r="AA410">
        <f>IF(COUNTIF('13 - DATA &amp; LISTS'!$AK$30:$AK$436,"&lt;999999999999")&lt;402,0,MATCH(SMALL('13 - DATA &amp; LISTS'!$AK$30:$AK$436,402),'13 - DATA &amp; LISTS'!$AK$30:$AK$436,0))</f>
        <v>0</v>
      </c>
    </row>
    <row r="411" spans="1:27" ht="63.95" customHeight="1">
      <c r="A411" s="18" t="str">
        <f>IF($AA411=0,"",INDEX('13 - DATA &amp; LISTS'!$Y$30:$Y$436,$AA411))</f>
        <v/>
      </c>
      <c r="B411" s="18" t="str">
        <f>IF($AA411=0,"",INDEX('13 - DATA &amp; LISTS'!$Z$30:$Z$436,$AA411))</f>
        <v/>
      </c>
      <c r="C411" s="18" t="str">
        <f>IF($AA411=0,"",INDEX('13 - DATA &amp; LISTS'!$AA$30:$AA$436,$AA411))</f>
        <v/>
      </c>
      <c r="D411" s="18" t="str">
        <f>IF($AA411=0,"",INDEX('13 - DATA &amp; LISTS'!$AB$30:$AB$436,$AA411))</f>
        <v/>
      </c>
      <c r="E411" s="18" t="str">
        <f>IF($AA411=0,"",INDEX('13 - DATA &amp; LISTS'!$AC$30:$AC$436,$AA411))</f>
        <v/>
      </c>
      <c r="F411" s="18" t="str">
        <f>IF($AA411=0,"",INDEX('13 - DATA &amp; LISTS'!$AD$30:$AD$436,$AA411))</f>
        <v/>
      </c>
      <c r="G411" s="18" t="str">
        <f>IF($AA411=0,"",INDEX('13 - DATA &amp; LISTS'!$AE$30:$AE$436,$AA411))</f>
        <v/>
      </c>
      <c r="H411" s="19" t="str">
        <f>IF($AA411=0,"",INDEX('13 - DATA &amp; LISTS'!$AF$30:$AF$436,$AA411))</f>
        <v/>
      </c>
      <c r="I411" s="18" t="str">
        <f>IF($AA411=0,"",INDEX('13 - DATA &amp; LISTS'!$AG$30:$AG$436,$AA411))</f>
        <v/>
      </c>
      <c r="J411" s="18" t="str">
        <f>IF($AA411=0,"",INDEX('13 - DATA &amp; LISTS'!$AH$30:$AH$436,$AA411))</f>
        <v/>
      </c>
      <c r="K411" s="18" t="str">
        <f>IF($AA411=0,"",INDEX('13 - DATA &amp; LISTS'!$AI$30:$AI$436,$AA411))</f>
        <v/>
      </c>
      <c r="AA411">
        <f>IF(COUNTIF('13 - DATA &amp; LISTS'!$AK$30:$AK$436,"&lt;999999999999")&lt;403,0,MATCH(SMALL('13 - DATA &amp; LISTS'!$AK$30:$AK$436,403),'13 - DATA &amp; LISTS'!$AK$30:$AK$436,0))</f>
        <v>0</v>
      </c>
    </row>
    <row r="412" spans="1:27" ht="63.95" customHeight="1">
      <c r="A412" s="18" t="str">
        <f>IF($AA412=0,"",INDEX('13 - DATA &amp; LISTS'!$Y$30:$Y$436,$AA412))</f>
        <v/>
      </c>
      <c r="B412" s="18" t="str">
        <f>IF($AA412=0,"",INDEX('13 - DATA &amp; LISTS'!$Z$30:$Z$436,$AA412))</f>
        <v/>
      </c>
      <c r="C412" s="18" t="str">
        <f>IF($AA412=0,"",INDEX('13 - DATA &amp; LISTS'!$AA$30:$AA$436,$AA412))</f>
        <v/>
      </c>
      <c r="D412" s="18" t="str">
        <f>IF($AA412=0,"",INDEX('13 - DATA &amp; LISTS'!$AB$30:$AB$436,$AA412))</f>
        <v/>
      </c>
      <c r="E412" s="18" t="str">
        <f>IF($AA412=0,"",INDEX('13 - DATA &amp; LISTS'!$AC$30:$AC$436,$AA412))</f>
        <v/>
      </c>
      <c r="F412" s="18" t="str">
        <f>IF($AA412=0,"",INDEX('13 - DATA &amp; LISTS'!$AD$30:$AD$436,$AA412))</f>
        <v/>
      </c>
      <c r="G412" s="18" t="str">
        <f>IF($AA412=0,"",INDEX('13 - DATA &amp; LISTS'!$AE$30:$AE$436,$AA412))</f>
        <v/>
      </c>
      <c r="H412" s="19" t="str">
        <f>IF($AA412=0,"",INDEX('13 - DATA &amp; LISTS'!$AF$30:$AF$436,$AA412))</f>
        <v/>
      </c>
      <c r="I412" s="18" t="str">
        <f>IF($AA412=0,"",INDEX('13 - DATA &amp; LISTS'!$AG$30:$AG$436,$AA412))</f>
        <v/>
      </c>
      <c r="J412" s="18" t="str">
        <f>IF($AA412=0,"",INDEX('13 - DATA &amp; LISTS'!$AH$30:$AH$436,$AA412))</f>
        <v/>
      </c>
      <c r="K412" s="18" t="str">
        <f>IF($AA412=0,"",INDEX('13 - DATA &amp; LISTS'!$AI$30:$AI$436,$AA412))</f>
        <v/>
      </c>
      <c r="AA412">
        <f>IF(COUNTIF('13 - DATA &amp; LISTS'!$AK$30:$AK$436,"&lt;999999999999")&lt;404,0,MATCH(SMALL('13 - DATA &amp; LISTS'!$AK$30:$AK$436,404),'13 - DATA &amp; LISTS'!$AK$30:$AK$436,0))</f>
        <v>0</v>
      </c>
    </row>
    <row r="413" spans="1:27" ht="63.95" customHeight="1">
      <c r="A413" s="18" t="str">
        <f>IF($AA413=0,"",INDEX('13 - DATA &amp; LISTS'!$Y$30:$Y$436,$AA413))</f>
        <v/>
      </c>
      <c r="B413" s="18" t="str">
        <f>IF($AA413=0,"",INDEX('13 - DATA &amp; LISTS'!$Z$30:$Z$436,$AA413))</f>
        <v/>
      </c>
      <c r="C413" s="18" t="str">
        <f>IF($AA413=0,"",INDEX('13 - DATA &amp; LISTS'!$AA$30:$AA$436,$AA413))</f>
        <v/>
      </c>
      <c r="D413" s="18" t="str">
        <f>IF($AA413=0,"",INDEX('13 - DATA &amp; LISTS'!$AB$30:$AB$436,$AA413))</f>
        <v/>
      </c>
      <c r="E413" s="18" t="str">
        <f>IF($AA413=0,"",INDEX('13 - DATA &amp; LISTS'!$AC$30:$AC$436,$AA413))</f>
        <v/>
      </c>
      <c r="F413" s="18" t="str">
        <f>IF($AA413=0,"",INDEX('13 - DATA &amp; LISTS'!$AD$30:$AD$436,$AA413))</f>
        <v/>
      </c>
      <c r="G413" s="18" t="str">
        <f>IF($AA413=0,"",INDEX('13 - DATA &amp; LISTS'!$AE$30:$AE$436,$AA413))</f>
        <v/>
      </c>
      <c r="H413" s="19" t="str">
        <f>IF($AA413=0,"",INDEX('13 - DATA &amp; LISTS'!$AF$30:$AF$436,$AA413))</f>
        <v/>
      </c>
      <c r="I413" s="18" t="str">
        <f>IF($AA413=0,"",INDEX('13 - DATA &amp; LISTS'!$AG$30:$AG$436,$AA413))</f>
        <v/>
      </c>
      <c r="J413" s="18" t="str">
        <f>IF($AA413=0,"",INDEX('13 - DATA &amp; LISTS'!$AH$30:$AH$436,$AA413))</f>
        <v/>
      </c>
      <c r="K413" s="18" t="str">
        <f>IF($AA413=0,"",INDEX('13 - DATA &amp; LISTS'!$AI$30:$AI$436,$AA413))</f>
        <v/>
      </c>
      <c r="AA413">
        <f>IF(COUNTIF('13 - DATA &amp; LISTS'!$AK$30:$AK$436,"&lt;999999999999")&lt;405,0,MATCH(SMALL('13 - DATA &amp; LISTS'!$AK$30:$AK$436,405),'13 - DATA &amp; LISTS'!$AK$30:$AK$436,0))</f>
        <v>0</v>
      </c>
    </row>
    <row r="414" spans="1:27" ht="63.95" customHeight="1">
      <c r="A414" s="18" t="str">
        <f>IF($AA414=0,"",INDEX('13 - DATA &amp; LISTS'!$Y$30:$Y$436,$AA414))</f>
        <v/>
      </c>
      <c r="B414" s="18" t="str">
        <f>IF($AA414=0,"",INDEX('13 - DATA &amp; LISTS'!$Z$30:$Z$436,$AA414))</f>
        <v/>
      </c>
      <c r="C414" s="18" t="str">
        <f>IF($AA414=0,"",INDEX('13 - DATA &amp; LISTS'!$AA$30:$AA$436,$AA414))</f>
        <v/>
      </c>
      <c r="D414" s="18" t="str">
        <f>IF($AA414=0,"",INDEX('13 - DATA &amp; LISTS'!$AB$30:$AB$436,$AA414))</f>
        <v/>
      </c>
      <c r="E414" s="18" t="str">
        <f>IF($AA414=0,"",INDEX('13 - DATA &amp; LISTS'!$AC$30:$AC$436,$AA414))</f>
        <v/>
      </c>
      <c r="F414" s="18" t="str">
        <f>IF($AA414=0,"",INDEX('13 - DATA &amp; LISTS'!$AD$30:$AD$436,$AA414))</f>
        <v/>
      </c>
      <c r="G414" s="18" t="str">
        <f>IF($AA414=0,"",INDEX('13 - DATA &amp; LISTS'!$AE$30:$AE$436,$AA414))</f>
        <v/>
      </c>
      <c r="H414" s="19" t="str">
        <f>IF($AA414=0,"",INDEX('13 - DATA &amp; LISTS'!$AF$30:$AF$436,$AA414))</f>
        <v/>
      </c>
      <c r="I414" s="18" t="str">
        <f>IF($AA414=0,"",INDEX('13 - DATA &amp; LISTS'!$AG$30:$AG$436,$AA414))</f>
        <v/>
      </c>
      <c r="J414" s="18" t="str">
        <f>IF($AA414=0,"",INDEX('13 - DATA &amp; LISTS'!$AH$30:$AH$436,$AA414))</f>
        <v/>
      </c>
      <c r="K414" s="18" t="str">
        <f>IF($AA414=0,"",INDEX('13 - DATA &amp; LISTS'!$AI$30:$AI$436,$AA414))</f>
        <v/>
      </c>
      <c r="AA414">
        <f>IF(COUNTIF('13 - DATA &amp; LISTS'!$AK$30:$AK$436,"&lt;999999999999")&lt;406,0,MATCH(SMALL('13 - DATA &amp; LISTS'!$AK$30:$AK$436,406),'13 - DATA &amp; LISTS'!$AK$30:$AK$436,0))</f>
        <v>0</v>
      </c>
    </row>
    <row r="415" spans="1:27" ht="63.95" customHeight="1">
      <c r="A415" s="18" t="str">
        <f>IF($AA415=0,"",INDEX('13 - DATA &amp; LISTS'!$Y$30:$Y$436,$AA415))</f>
        <v/>
      </c>
      <c r="B415" s="18" t="str">
        <f>IF($AA415=0,"",INDEX('13 - DATA &amp; LISTS'!$Z$30:$Z$436,$AA415))</f>
        <v/>
      </c>
      <c r="C415" s="18" t="str">
        <f>IF($AA415=0,"",INDEX('13 - DATA &amp; LISTS'!$AA$30:$AA$436,$AA415))</f>
        <v/>
      </c>
      <c r="D415" s="18" t="str">
        <f>IF($AA415=0,"",INDEX('13 - DATA &amp; LISTS'!$AB$30:$AB$436,$AA415))</f>
        <v/>
      </c>
      <c r="E415" s="18" t="str">
        <f>IF($AA415=0,"",INDEX('13 - DATA &amp; LISTS'!$AC$30:$AC$436,$AA415))</f>
        <v/>
      </c>
      <c r="F415" s="18" t="str">
        <f>IF($AA415=0,"",INDEX('13 - DATA &amp; LISTS'!$AD$30:$AD$436,$AA415))</f>
        <v/>
      </c>
      <c r="G415" s="18" t="str">
        <f>IF($AA415=0,"",INDEX('13 - DATA &amp; LISTS'!$AE$30:$AE$436,$AA415))</f>
        <v/>
      </c>
      <c r="H415" s="19" t="str">
        <f>IF($AA415=0,"",INDEX('13 - DATA &amp; LISTS'!$AF$30:$AF$436,$AA415))</f>
        <v/>
      </c>
      <c r="I415" s="18" t="str">
        <f>IF($AA415=0,"",INDEX('13 - DATA &amp; LISTS'!$AG$30:$AG$436,$AA415))</f>
        <v/>
      </c>
      <c r="J415" s="18" t="str">
        <f>IF($AA415=0,"",INDEX('13 - DATA &amp; LISTS'!$AH$30:$AH$436,$AA415))</f>
        <v/>
      </c>
      <c r="K415" s="18" t="str">
        <f>IF($AA415=0,"",INDEX('13 - DATA &amp; LISTS'!$AI$30:$AI$436,$AA415))</f>
        <v/>
      </c>
      <c r="AA415">
        <f>IF(COUNTIF('13 - DATA &amp; LISTS'!$AK$30:$AK$436,"&lt;999999999999")&lt;407,0,MATCH(SMALL('13 - DATA &amp; LISTS'!$AK$30:$AK$436,407),'13 - DATA &amp; LISTS'!$AK$30:$AK$436,0))</f>
        <v>0</v>
      </c>
    </row>
  </sheetData>
  <mergeCells count="1">
    <mergeCell ref="A4:J4"/>
  </mergeCells>
  <hyperlinks>
    <hyperlink ref="A6" location="'00 - START HERE'!A1" display="Start here" xr:uid="{00000000-0004-0000-0C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87C78"/>
  </sheetPr>
  <dimension ref="A1:AR436"/>
  <sheetViews>
    <sheetView showGridLines="0" zoomScale="85" workbookViewId="0"/>
  </sheetViews>
  <sheetFormatPr defaultRowHeight="14.25"/>
  <cols>
    <col min="1" max="1" width="28" customWidth="1"/>
    <col min="2" max="2" width="100" customWidth="1"/>
    <col min="3" max="24" width="20" customWidth="1"/>
  </cols>
  <sheetData>
    <row r="1" spans="1:24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.1" customHeight="1">
      <c r="A2" s="2" t="s">
        <v>515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3.950000000000003" customHeight="1">
      <c r="A4" s="21" t="s">
        <v>516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4" customHeight="1">
      <c r="A8" s="1" t="s">
        <v>103</v>
      </c>
      <c r="B8" s="1" t="s">
        <v>104</v>
      </c>
      <c r="C8" s="1" t="s">
        <v>105</v>
      </c>
      <c r="D8" s="1" t="s">
        <v>517</v>
      </c>
      <c r="E8" s="1" t="s">
        <v>244</v>
      </c>
      <c r="F8" s="1" t="s">
        <v>518</v>
      </c>
      <c r="G8" s="1" t="s">
        <v>519</v>
      </c>
      <c r="H8" s="1" t="s">
        <v>520</v>
      </c>
      <c r="I8" s="1" t="s">
        <v>197</v>
      </c>
      <c r="J8" s="1" t="s">
        <v>285</v>
      </c>
      <c r="K8" s="1" t="s">
        <v>320</v>
      </c>
      <c r="L8" s="1" t="s">
        <v>521</v>
      </c>
      <c r="M8" s="1" t="s">
        <v>522</v>
      </c>
      <c r="N8" s="1" t="s">
        <v>499</v>
      </c>
      <c r="O8" s="1" t="s">
        <v>523</v>
      </c>
      <c r="P8" s="1" t="s">
        <v>524</v>
      </c>
      <c r="Q8" s="1"/>
      <c r="R8" s="1"/>
      <c r="S8" s="1"/>
      <c r="T8" s="1"/>
      <c r="U8" s="1"/>
      <c r="V8" s="1"/>
      <c r="W8" s="1"/>
      <c r="X8" s="1"/>
    </row>
    <row r="9" spans="1:24" ht="24" customHeight="1">
      <c r="A9" s="1" t="s">
        <v>142</v>
      </c>
      <c r="B9" s="1" t="s">
        <v>525</v>
      </c>
      <c r="C9" s="1" t="s">
        <v>153</v>
      </c>
      <c r="D9" s="1" t="s">
        <v>305</v>
      </c>
      <c r="E9" s="1" t="s">
        <v>271</v>
      </c>
      <c r="F9" s="1" t="s">
        <v>223</v>
      </c>
      <c r="G9" s="1" t="s">
        <v>223</v>
      </c>
      <c r="H9" s="1" t="s">
        <v>369</v>
      </c>
      <c r="I9" s="1" t="s">
        <v>61</v>
      </c>
      <c r="J9" s="1" t="s">
        <v>526</v>
      </c>
      <c r="K9" s="1" t="s">
        <v>369</v>
      </c>
      <c r="L9" s="1" t="s">
        <v>351</v>
      </c>
      <c r="M9" s="1" t="s">
        <v>527</v>
      </c>
      <c r="N9" s="1" t="s">
        <v>525</v>
      </c>
      <c r="O9" s="1" t="s">
        <v>528</v>
      </c>
      <c r="P9" s="1" t="s">
        <v>8</v>
      </c>
      <c r="Q9" s="1"/>
      <c r="R9" s="1"/>
      <c r="S9" s="1"/>
      <c r="T9" s="1"/>
      <c r="U9" s="1"/>
      <c r="V9" s="1"/>
      <c r="W9" s="1"/>
      <c r="X9" s="1"/>
    </row>
    <row r="10" spans="1:24" ht="24" customHeight="1">
      <c r="A10" s="1" t="s">
        <v>151</v>
      </c>
      <c r="B10" s="1" t="s">
        <v>143</v>
      </c>
      <c r="C10" s="1" t="s">
        <v>144</v>
      </c>
      <c r="D10" s="1" t="s">
        <v>275</v>
      </c>
      <c r="E10" s="1" t="s">
        <v>153</v>
      </c>
      <c r="F10" s="1" t="s">
        <v>529</v>
      </c>
      <c r="G10" s="1" t="s">
        <v>265</v>
      </c>
      <c r="H10" s="1" t="s">
        <v>380</v>
      </c>
      <c r="I10" s="1" t="s">
        <v>530</v>
      </c>
      <c r="J10" s="1" t="s">
        <v>265</v>
      </c>
      <c r="K10" s="1" t="s">
        <v>380</v>
      </c>
      <c r="L10" s="1" t="s">
        <v>531</v>
      </c>
      <c r="M10" s="1" t="s">
        <v>532</v>
      </c>
      <c r="N10" s="1" t="s">
        <v>533</v>
      </c>
      <c r="O10" s="1" t="s">
        <v>466</v>
      </c>
      <c r="P10" s="1" t="s">
        <v>10</v>
      </c>
      <c r="Q10" s="1"/>
      <c r="R10" s="1"/>
      <c r="S10" s="1"/>
      <c r="T10" s="1"/>
      <c r="U10" s="1"/>
      <c r="V10" s="1"/>
      <c r="W10" s="1"/>
      <c r="X10" s="1"/>
    </row>
    <row r="11" spans="1:24" ht="24" customHeight="1">
      <c r="A11" s="1" t="s">
        <v>160</v>
      </c>
      <c r="B11" s="1" t="s">
        <v>152</v>
      </c>
      <c r="C11" s="1" t="s">
        <v>174</v>
      </c>
      <c r="D11" s="1"/>
      <c r="E11" s="1" t="s">
        <v>534</v>
      </c>
      <c r="F11" s="1" t="s">
        <v>535</v>
      </c>
      <c r="G11" s="1" t="s">
        <v>536</v>
      </c>
      <c r="H11" s="1" t="s">
        <v>172</v>
      </c>
      <c r="I11" s="1" t="s">
        <v>58</v>
      </c>
      <c r="J11" s="1" t="s">
        <v>299</v>
      </c>
      <c r="K11" s="1" t="s">
        <v>172</v>
      </c>
      <c r="L11" s="1" t="s">
        <v>537</v>
      </c>
      <c r="M11" s="1" t="s">
        <v>538</v>
      </c>
      <c r="N11" s="1" t="s">
        <v>539</v>
      </c>
      <c r="O11" s="1" t="s">
        <v>540</v>
      </c>
      <c r="P11" s="1" t="s">
        <v>12</v>
      </c>
      <c r="Q11" s="1"/>
      <c r="R11" s="1"/>
      <c r="S11" s="1"/>
      <c r="T11" s="1"/>
      <c r="U11" s="1"/>
      <c r="V11" s="1"/>
      <c r="W11" s="1"/>
      <c r="X11" s="1"/>
    </row>
    <row r="12" spans="1:24" ht="24" customHeight="1">
      <c r="A12" s="1" t="s">
        <v>172</v>
      </c>
      <c r="B12" s="1" t="s">
        <v>173</v>
      </c>
      <c r="C12" s="1"/>
      <c r="D12" s="1"/>
      <c r="E12" s="1"/>
      <c r="F12" s="1" t="s">
        <v>541</v>
      </c>
      <c r="G12" s="1"/>
      <c r="H12" s="1" t="s">
        <v>542</v>
      </c>
      <c r="I12" s="1" t="s">
        <v>543</v>
      </c>
      <c r="J12" s="1" t="s">
        <v>544</v>
      </c>
      <c r="K12" s="1"/>
      <c r="L12" s="1" t="s">
        <v>545</v>
      </c>
      <c r="M12" s="1" t="s">
        <v>18</v>
      </c>
      <c r="N12" s="1" t="s">
        <v>172</v>
      </c>
      <c r="O12" s="1" t="s">
        <v>546</v>
      </c>
      <c r="P12" s="1" t="s">
        <v>14</v>
      </c>
      <c r="Q12" s="1"/>
      <c r="R12" s="1"/>
      <c r="S12" s="1"/>
      <c r="T12" s="1"/>
      <c r="U12" s="1"/>
      <c r="V12" s="1"/>
      <c r="W12" s="1"/>
      <c r="X12" s="1"/>
    </row>
    <row r="13" spans="1:24" ht="24" customHeight="1">
      <c r="A13" s="1"/>
      <c r="B13" s="1"/>
      <c r="C13" s="1"/>
      <c r="D13" s="1"/>
      <c r="E13" s="1"/>
      <c r="F13" s="1" t="s">
        <v>547</v>
      </c>
      <c r="G13" s="1"/>
      <c r="H13" s="1"/>
      <c r="I13" s="1"/>
      <c r="J13" s="1"/>
      <c r="K13" s="1"/>
      <c r="L13" s="1"/>
      <c r="M13" s="1" t="s">
        <v>20</v>
      </c>
      <c r="N13" s="1"/>
      <c r="O13" s="1" t="s">
        <v>548</v>
      </c>
      <c r="P13" s="1" t="s">
        <v>16</v>
      </c>
      <c r="Q13" s="1"/>
      <c r="R13" s="1"/>
      <c r="S13" s="1"/>
      <c r="T13" s="1"/>
      <c r="U13" s="1"/>
      <c r="V13" s="1"/>
      <c r="W13" s="1"/>
      <c r="X13" s="1"/>
    </row>
    <row r="14" spans="1:24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 t="s">
        <v>549</v>
      </c>
      <c r="N14" s="1"/>
      <c r="O14" s="1"/>
      <c r="P14" s="1" t="s">
        <v>18</v>
      </c>
      <c r="Q14" s="1"/>
      <c r="R14" s="1"/>
      <c r="S14" s="1"/>
      <c r="T14" s="1"/>
      <c r="U14" s="1"/>
      <c r="V14" s="1"/>
      <c r="W14" s="1"/>
      <c r="X14" s="1"/>
    </row>
    <row r="15" spans="1:24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 t="s">
        <v>20</v>
      </c>
      <c r="Q15" s="1"/>
      <c r="R15" s="1"/>
      <c r="S15" s="1"/>
      <c r="T15" s="1"/>
      <c r="U15" s="1"/>
      <c r="V15" s="1"/>
      <c r="W15" s="1"/>
      <c r="X15" s="1"/>
    </row>
    <row r="16" spans="1:24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44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44" ht="51.95" customHeight="1">
      <c r="A18" s="5" t="s">
        <v>550</v>
      </c>
      <c r="B18" s="5" t="s">
        <v>551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44" ht="51.95" customHeight="1">
      <c r="A19" s="1" t="s">
        <v>552</v>
      </c>
      <c r="B19" s="3" t="s">
        <v>553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44" ht="51.95" customHeight="1">
      <c r="A20" s="1" t="s">
        <v>554</v>
      </c>
      <c r="B20" s="3" t="s">
        <v>555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44" ht="51.95" customHeight="1">
      <c r="A21" s="1" t="s">
        <v>556</v>
      </c>
      <c r="B21" s="3" t="s">
        <v>557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44" ht="51.95" customHeight="1">
      <c r="A22" s="1" t="s">
        <v>558</v>
      </c>
      <c r="B22" s="3" t="s">
        <v>559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44" ht="51.95" customHeight="1">
      <c r="A23" s="1" t="s">
        <v>560</v>
      </c>
      <c r="B23" s="3" t="s">
        <v>561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44" ht="51.95" customHeight="1">
      <c r="A24" s="1" t="s">
        <v>562</v>
      </c>
      <c r="B24" s="3" t="s">
        <v>563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44" ht="51.95" customHeight="1">
      <c r="A25" s="1" t="s">
        <v>564</v>
      </c>
      <c r="B25" s="3" t="s">
        <v>565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44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44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44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44" ht="38.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6" t="s">
        <v>139</v>
      </c>
      <c r="Z29" s="16" t="s">
        <v>6</v>
      </c>
      <c r="AA29" s="16" t="s">
        <v>113</v>
      </c>
      <c r="AB29" s="16" t="s">
        <v>114</v>
      </c>
      <c r="AC29" s="16" t="s">
        <v>127</v>
      </c>
      <c r="AD29" s="16" t="s">
        <v>107</v>
      </c>
      <c r="AE29" s="16" t="s">
        <v>108</v>
      </c>
      <c r="AF29" s="16" t="s">
        <v>109</v>
      </c>
      <c r="AG29" s="16" t="s">
        <v>115</v>
      </c>
      <c r="AH29" s="16" t="s">
        <v>121</v>
      </c>
      <c r="AI29" s="16" t="s">
        <v>191</v>
      </c>
      <c r="AJ29" s="16" t="s">
        <v>566</v>
      </c>
      <c r="AK29" s="16" t="s">
        <v>567</v>
      </c>
      <c r="AL29" s="16" t="s">
        <v>568</v>
      </c>
      <c r="AM29" s="16" t="s">
        <v>569</v>
      </c>
      <c r="AN29" s="16" t="s">
        <v>570</v>
      </c>
      <c r="AO29" s="16" t="s">
        <v>571</v>
      </c>
      <c r="AP29" s="16" t="s">
        <v>572</v>
      </c>
      <c r="AQ29" s="16" t="s">
        <v>573</v>
      </c>
      <c r="AR29" s="16" t="s">
        <v>574</v>
      </c>
    </row>
    <row r="30" spans="1:44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t="str">
        <f>IF('03 - HEALTH REVIEW'!A9&lt;&gt;"",IF('03 - HEALTH REVIEW'!P9="","",'03 - HEALTH REVIEW'!P9),"")</f>
        <v>Routine</v>
      </c>
      <c r="Z30" t="str">
        <f>IF('03 - HEALTH REVIEW'!A9&lt;&gt;"",IF('03 - HEALTH REVIEW'!B9="","",'03 - HEALTH REVIEW'!B9),"")</f>
        <v>Value</v>
      </c>
      <c r="AA30" t="str">
        <f>IF('03 - HEALTH REVIEW'!A9&lt;&gt;"",IF('03 - HEALTH REVIEW'!A9="","",'03 - HEALTH REVIEW'!A9),"")</f>
        <v>H-01</v>
      </c>
      <c r="AB30" t="str">
        <f>IF('03 - HEALTH REVIEW'!A9&lt;&gt;"",IF('03 - HEALTH REVIEW'!L9="","",'03 - HEALTH REVIEW'!L9),"")</f>
        <v>Need reconfirmed 22 Sep; remaining cost open</v>
      </c>
      <c r="AC30" t="str">
        <f>IF('03 - HEALTH REVIEW'!A9&lt;&gt;"",IF('03 - HEALTH REVIEW'!F9="","",'03 - HEALTH REVIEW'!F9),"")</f>
        <v/>
      </c>
      <c r="AD30" t="str">
        <f>IF('03 - HEALTH REVIEW'!A9&lt;&gt;"",IF('03 - HEALTH REVIEW'!Q9="","",'03 - HEALTH REVIEW'!Q9),"")</f>
        <v>Validate remaining cost</v>
      </c>
      <c r="AE30" t="str">
        <f>IF('03 - HEALTH REVIEW'!A9&lt;&gt;"",IF('03 - HEALTH REVIEW'!H9="","",'03 - HEALTH REVIEW'!H9),"")</f>
        <v>Sponsor</v>
      </c>
      <c r="AF30" s="17">
        <f>IF('03 - HEALTH REVIEW'!A9&lt;&gt;"",IF('03 - HEALTH REVIEW'!I9="","",'03 - HEALTH REVIEW'!I9),"")</f>
        <v>46293</v>
      </c>
      <c r="AG30" t="str">
        <f>IF('03 - HEALTH REVIEW'!A9&lt;&gt;"",IF('03 - HEALTH REVIEW'!M9="","",'03 - HEALTH REVIEW'!M9),"")</f>
        <v>Continuing value not fully evidenced</v>
      </c>
      <c r="AH30" t="str">
        <f>IF('03 - HEALTH REVIEW'!A9&lt;&gt;"",IF('03 - HEALTH REVIEW'!N9="","",'03 - HEALTH REVIEW'!N9),"")</f>
        <v>Atlas review 24 Sep</v>
      </c>
      <c r="AI30" t="str">
        <f>IF('03 - HEALTH REVIEW'!A9&lt;&gt;"",IF('03 - HEALTH REVIEW'!C9="","",'03 - HEALTH REVIEW'!C9),"")</f>
        <v>Within tolerance</v>
      </c>
      <c r="AJ30" t="str">
        <f>IF('03 - HEALTH REVIEW'!A9&lt;&gt;"","03 - HEALTH REVIEW row 9","")</f>
        <v>03 - HEALTH REVIEW row 9</v>
      </c>
      <c r="AK30">
        <f>IF(AND('03 - HEALTH REVIEW'!A9&lt;&gt;"",OR(TRUE,'03 - HEALTH REVIEW'!F9&lt;&gt;""),OR(AC30&lt;&gt;"",AD30&lt;&gt;"")),IF(Y30="Critical",1,IF(Y30="Review",2,3))*100000000+IF(ISNUMBER(AF30),AF30,99999)*1000+ROW(),999999999999)</f>
        <v>346293030</v>
      </c>
      <c r="AL30">
        <f t="shared" ref="AL30:AL93" si="0">IF(AND(ISNUMBER(AK30),Y30="Critical"),AK30,999999999999)</f>
        <v>999999999999</v>
      </c>
      <c r="AM30">
        <f>IF(AND(ISNUMBER(AK30),OR(Z30="Assurance",AND(Z30="Adoption",AC30&lt;&gt;""),OR('03 - HEALTH REVIEW'!E9="Low",'03 - HEALTH REVIEW'!C9="Unknown"))),AK30,999999999999)</f>
        <v>999999999999</v>
      </c>
      <c r="AN30">
        <f t="shared" ref="AN30:AN93" si="1">IF(AND(ISNUMBER(AK30),FALSE),AK30,999999999999)</f>
        <v>999999999999</v>
      </c>
      <c r="AO30">
        <f t="shared" ref="AO30:AO93" si="2">IF(AND(ISNUMBER(AK30),ISNUMBER(AF30),AF30&gt;=ReviewDate,AF30&lt;=ReviewDate+Upcoming),AF30*1000+ROW(),999999999999)</f>
        <v>46293030</v>
      </c>
      <c r="AP30">
        <f t="shared" ref="AP30:AP36" si="3">IF(AND(ISNUMBER(AK30),FALSE),AK30,999999999999)</f>
        <v>999999999999</v>
      </c>
      <c r="AQ30">
        <f t="shared" ref="AQ30:AQ61" si="4">IF(AND(ISNUMBER(AK30),Z30="Dependencies",FALSE),AK30,999999999999)</f>
        <v>999999999999</v>
      </c>
      <c r="AR30">
        <f t="shared" ref="AR30:AR93" si="5">IF(AC30&lt;&gt;"",1,0)</f>
        <v>0</v>
      </c>
    </row>
    <row r="31" spans="1:44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t="str">
        <f>IF('03 - HEALTH REVIEW'!A10&lt;&gt;"",IF('03 - HEALTH REVIEW'!P10="","",'03 - HEALTH REVIEW'!P10),"")</f>
        <v>Routine</v>
      </c>
      <c r="Z31" t="str">
        <f>IF('03 - HEALTH REVIEW'!A10&lt;&gt;"",IF('03 - HEALTH REVIEW'!B10="","",'03 - HEALTH REVIEW'!B10),"")</f>
        <v>Flow</v>
      </c>
      <c r="AA31" t="str">
        <f>IF('03 - HEALTH REVIEW'!A10&lt;&gt;"",IF('03 - HEALTH REVIEW'!A10="","",'03 - HEALTH REVIEW'!A10),"")</f>
        <v>H-02</v>
      </c>
      <c r="AB31" t="str">
        <f>IF('03 - HEALTH REVIEW'!A10&lt;&gt;"",IF('03 - HEALTH REVIEW'!L10="","",'03 - HEALTH REVIEW'!L10),"")</f>
        <v>Acceptance queue growing across reviews</v>
      </c>
      <c r="AC31" t="str">
        <f>IF('03 - HEALTH REVIEW'!A10&lt;&gt;"",IF('03 - HEALTH REVIEW'!F10="","",'03 - HEALTH REVIEW'!F10),"")</f>
        <v/>
      </c>
      <c r="AD31" t="str">
        <f>IF('03 - HEALTH REVIEW'!A10&lt;&gt;"",IF('03 - HEALTH REVIEW'!Q10="","",'03 - HEALTH REVIEW'!Q10),"")</f>
        <v>Limit new starts</v>
      </c>
      <c r="AE31" t="str">
        <f>IF('03 - HEALTH REVIEW'!A10&lt;&gt;"",IF('03 - HEALTH REVIEW'!H10="","",'03 - HEALTH REVIEW'!H10),"")</f>
        <v>Delivery lead</v>
      </c>
      <c r="AF31" s="17">
        <f>IF('03 - HEALTH REVIEW'!A10&lt;&gt;"",IF('03 - HEALTH REVIEW'!I10="","",'03 - HEALTH REVIEW'!I10),"")</f>
        <v>46290</v>
      </c>
      <c r="AG31" t="str">
        <f>IF('03 - HEALTH REVIEW'!A10&lt;&gt;"",IF('03 - HEALTH REVIEW'!M10="","",'03 - HEALTH REVIEW'!M10),"")</f>
        <v>Release or outcome claim remains constrained</v>
      </c>
      <c r="AH31" t="str">
        <f>IF('03 - HEALTH REVIEW'!A10&lt;&gt;"",IF('03 - HEALTH REVIEW'!N10="","",'03 - HEALTH REVIEW'!N10),"")</f>
        <v>Atlas review 24 Sep</v>
      </c>
      <c r="AI31" t="str">
        <f>IF('03 - HEALTH REVIEW'!A10&lt;&gt;"",IF('03 - HEALTH REVIEW'!C10="","",'03 - HEALTH REVIEW'!C10),"")</f>
        <v>Watch</v>
      </c>
      <c r="AJ31" t="str">
        <f>IF('03 - HEALTH REVIEW'!A10&lt;&gt;"","03 - HEALTH REVIEW row 10","")</f>
        <v>03 - HEALTH REVIEW row 10</v>
      </c>
      <c r="AK31">
        <f>IF(AND('03 - HEALTH REVIEW'!A10&lt;&gt;"",OR(TRUE,'03 - HEALTH REVIEW'!F10&lt;&gt;""),OR(AC31&lt;&gt;"",AD31&lt;&gt;"")),IF(Y31="Critical",1,IF(Y31="Review",2,3))*100000000+IF(ISNUMBER(AF31),AF31,99999)*1000+ROW(),999999999999)</f>
        <v>346290031</v>
      </c>
      <c r="AL31">
        <f t="shared" si="0"/>
        <v>999999999999</v>
      </c>
      <c r="AM31">
        <f>IF(AND(ISNUMBER(AK31),OR(Z31="Assurance",AND(Z31="Adoption",AC31&lt;&gt;""),OR('03 - HEALTH REVIEW'!E10="Low",'03 - HEALTH REVIEW'!C10="Unknown"))),AK31,999999999999)</f>
        <v>999999999999</v>
      </c>
      <c r="AN31">
        <f t="shared" si="1"/>
        <v>999999999999</v>
      </c>
      <c r="AO31">
        <f t="shared" si="2"/>
        <v>46290031</v>
      </c>
      <c r="AP31">
        <f t="shared" si="3"/>
        <v>999999999999</v>
      </c>
      <c r="AQ31">
        <f t="shared" si="4"/>
        <v>999999999999</v>
      </c>
      <c r="AR31">
        <f t="shared" si="5"/>
        <v>0</v>
      </c>
    </row>
    <row r="32" spans="1:44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t="str">
        <f>IF('03 - HEALTH REVIEW'!A11&lt;&gt;"",IF('03 - HEALTH REVIEW'!P11="","",'03 - HEALTH REVIEW'!P11),"")</f>
        <v>Critical</v>
      </c>
      <c r="Z32" t="str">
        <f>IF('03 - HEALTH REVIEW'!A11&lt;&gt;"",IF('03 - HEALTH REVIEW'!B11="","",'03 - HEALTH REVIEW'!B11),"")</f>
        <v>Dependencies</v>
      </c>
      <c r="AA32" t="str">
        <f>IF('03 - HEALTH REVIEW'!A11&lt;&gt;"",IF('03 - HEALTH REVIEW'!A11="","",'03 - HEALTH REVIEW'!A11),"")</f>
        <v>H-03</v>
      </c>
      <c r="AB32" t="str">
        <f>IF('03 - HEALTH REVIEW'!A11&lt;&gt;"",IF('03 - HEALTH REVIEW'!L11="","",'03 - HEALTH REVIEW'!L11),"")</f>
        <v>DEP-07 missed two commitments</v>
      </c>
      <c r="AC32" t="str">
        <f>IF('03 - HEALTH REVIEW'!A11&lt;&gt;"",IF('03 - HEALTH REVIEW'!F11="","",'03 - HEALTH REVIEW'!F11),"")</f>
        <v xml:space="preserve">INTERVENTION REQUIRED </v>
      </c>
      <c r="AD32" t="str">
        <f>IF('03 - HEALTH REVIEW'!A11&lt;&gt;"",IF('03 - HEALTH REVIEW'!Q11="","",'03 - HEALTH REVIEW'!Q11),"")</f>
        <v>Agree alternative sequence</v>
      </c>
      <c r="AE32" t="str">
        <f>IF('03 - HEALTH REVIEW'!A11&lt;&gt;"",IF('03 - HEALTH REVIEW'!H11="","",'03 - HEALTH REVIEW'!H11),"")</f>
        <v>Network owner</v>
      </c>
      <c r="AF32" s="17">
        <f>IF('03 - HEALTH REVIEW'!A11&lt;&gt;"",IF('03 - HEALTH REVIEW'!I11="","",'03 - HEALTH REVIEW'!I11),"")</f>
        <v>46290</v>
      </c>
      <c r="AG32" t="str">
        <f>IF('03 - HEALTH REVIEW'!A11&lt;&gt;"",IF('03 - HEALTH REVIEW'!M11="","",'03 - HEALTH REVIEW'!M11),"")</f>
        <v>Release or outcome claim remains constrained</v>
      </c>
      <c r="AH32" t="str">
        <f>IF('03 - HEALTH REVIEW'!A11&lt;&gt;"",IF('03 - HEALTH REVIEW'!N11="","",'03 - HEALTH REVIEW'!N11),"")</f>
        <v>DEP-07</v>
      </c>
      <c r="AI32" t="str">
        <f>IF('03 - HEALTH REVIEW'!A11&lt;&gt;"",IF('03 - HEALTH REVIEW'!C11="","",'03 - HEALTH REVIEW'!C11),"")</f>
        <v>Intervention required</v>
      </c>
      <c r="AJ32" t="str">
        <f>IF('03 - HEALTH REVIEW'!A11&lt;&gt;"","03 - HEALTH REVIEW row 11","")</f>
        <v>03 - HEALTH REVIEW row 11</v>
      </c>
      <c r="AK32">
        <f>IF(AND('03 - HEALTH REVIEW'!A11&lt;&gt;"",OR(TRUE,'03 - HEALTH REVIEW'!F11&lt;&gt;""),OR(AC32&lt;&gt;"",AD32&lt;&gt;"")),IF(Y32="Critical",1,IF(Y32="Review",2,3))*100000000+IF(ISNUMBER(AF32),AF32,99999)*1000+ROW(),999999999999)</f>
        <v>146290032</v>
      </c>
      <c r="AL32">
        <f t="shared" si="0"/>
        <v>146290032</v>
      </c>
      <c r="AM32">
        <f>IF(AND(ISNUMBER(AK32),OR(Z32="Assurance",AND(Z32="Adoption",AC32&lt;&gt;""),OR('03 - HEALTH REVIEW'!E11="Low",'03 - HEALTH REVIEW'!C11="Unknown"))),AK32,999999999999)</f>
        <v>999999999999</v>
      </c>
      <c r="AN32">
        <f t="shared" si="1"/>
        <v>999999999999</v>
      </c>
      <c r="AO32">
        <f t="shared" si="2"/>
        <v>46290032</v>
      </c>
      <c r="AP32">
        <f t="shared" si="3"/>
        <v>999999999999</v>
      </c>
      <c r="AQ32">
        <f t="shared" si="4"/>
        <v>999999999999</v>
      </c>
      <c r="AR32">
        <f t="shared" si="5"/>
        <v>1</v>
      </c>
    </row>
    <row r="33" spans="1:44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t="str">
        <f>IF('03 - HEALTH REVIEW'!A12&lt;&gt;"",IF('03 - HEALTH REVIEW'!P12="","",'03 - HEALTH REVIEW'!P12),"")</f>
        <v>Critical</v>
      </c>
      <c r="Z33" t="str">
        <f>IF('03 - HEALTH REVIEW'!A12&lt;&gt;"",IF('03 - HEALTH REVIEW'!B12="","",'03 - HEALTH REVIEW'!B12),"")</f>
        <v>Decisions</v>
      </c>
      <c r="AA33" t="str">
        <f>IF('03 - HEALTH REVIEW'!A12&lt;&gt;"",IF('03 - HEALTH REVIEW'!A12="","",'03 - HEALTH REVIEW'!A12),"")</f>
        <v>H-04</v>
      </c>
      <c r="AB33" t="str">
        <f>IF('03 - HEALTH REVIEW'!A12&lt;&gt;"",IF('03 - HEALTH REVIEW'!L12="","",'03 - HEALTH REVIEW'!L12),"")</f>
        <v>D-014 actionable since 6 Sep</v>
      </c>
      <c r="AC33" t="str">
        <f>IF('03 - HEALTH REVIEW'!A12&lt;&gt;"",IF('03 - HEALTH REVIEW'!F12="","",'03 - HEALTH REVIEW'!F12),"")</f>
        <v xml:space="preserve">INTERVENTION REQUIRED </v>
      </c>
      <c r="AD33" t="str">
        <f>IF('03 - HEALTH REVIEW'!A12&lt;&gt;"",IF('03 - HEALTH REVIEW'!Q12="","",'03 - HEALTH REVIEW'!Q12),"")</f>
        <v>Select release option</v>
      </c>
      <c r="AE33" t="str">
        <f>IF('03 - HEALTH REVIEW'!A12&lt;&gt;"",IF('03 - HEALTH REVIEW'!H12="","",'03 - HEALTH REVIEW'!H12),"")</f>
        <v>Sponsor</v>
      </c>
      <c r="AF33" s="17">
        <f>IF('03 - HEALTH REVIEW'!A12&lt;&gt;"",IF('03 - HEALTH REVIEW'!I12="","",'03 - HEALTH REVIEW'!I12),"")</f>
        <v>46290</v>
      </c>
      <c r="AG33" t="str">
        <f>IF('03 - HEALTH REVIEW'!A12&lt;&gt;"",IF('03 - HEALTH REVIEW'!M12="","",'03 - HEALTH REVIEW'!M12),"")</f>
        <v>Release or outcome claim remains constrained</v>
      </c>
      <c r="AH33" t="str">
        <f>IF('03 - HEALTH REVIEW'!A12&lt;&gt;"",IF('03 - HEALTH REVIEW'!N12="","",'03 - HEALTH REVIEW'!N12),"")</f>
        <v>D-014</v>
      </c>
      <c r="AI33" t="str">
        <f>IF('03 - HEALTH REVIEW'!A12&lt;&gt;"",IF('03 - HEALTH REVIEW'!C12="","",'03 - HEALTH REVIEW'!C12),"")</f>
        <v>Intervention required</v>
      </c>
      <c r="AJ33" t="str">
        <f>IF('03 - HEALTH REVIEW'!A12&lt;&gt;"","03 - HEALTH REVIEW row 12","")</f>
        <v>03 - HEALTH REVIEW row 12</v>
      </c>
      <c r="AK33">
        <f>IF(AND('03 - HEALTH REVIEW'!A12&lt;&gt;"",OR(TRUE,'03 - HEALTH REVIEW'!F12&lt;&gt;""),OR(AC33&lt;&gt;"",AD33&lt;&gt;"")),IF(Y33="Critical",1,IF(Y33="Review",2,3))*100000000+IF(ISNUMBER(AF33),AF33,99999)*1000+ROW(),999999999999)</f>
        <v>146290033</v>
      </c>
      <c r="AL33">
        <f t="shared" si="0"/>
        <v>146290033</v>
      </c>
      <c r="AM33">
        <f>IF(AND(ISNUMBER(AK33),OR(Z33="Assurance",AND(Z33="Adoption",AC33&lt;&gt;""),OR('03 - HEALTH REVIEW'!E12="Low",'03 - HEALTH REVIEW'!C12="Unknown"))),AK33,999999999999)</f>
        <v>999999999999</v>
      </c>
      <c r="AN33">
        <f t="shared" si="1"/>
        <v>999999999999</v>
      </c>
      <c r="AO33">
        <f t="shared" si="2"/>
        <v>46290033</v>
      </c>
      <c r="AP33">
        <f t="shared" si="3"/>
        <v>999999999999</v>
      </c>
      <c r="AQ33">
        <f t="shared" si="4"/>
        <v>999999999999</v>
      </c>
      <c r="AR33">
        <f t="shared" si="5"/>
        <v>1</v>
      </c>
    </row>
    <row r="34" spans="1:44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t="str">
        <f>IF('03 - HEALTH REVIEW'!A13&lt;&gt;"",IF('03 - HEALTH REVIEW'!P13="","",'03 - HEALTH REVIEW'!P13),"")</f>
        <v>Critical</v>
      </c>
      <c r="Z34" t="str">
        <f>IF('03 - HEALTH REVIEW'!A13&lt;&gt;"",IF('03 - HEALTH REVIEW'!B13="","",'03 - HEALTH REVIEW'!B13),"")</f>
        <v>Assurance</v>
      </c>
      <c r="AA34" t="str">
        <f>IF('03 - HEALTH REVIEW'!A13&lt;&gt;"",IF('03 - HEALTH REVIEW'!A13="","",'03 - HEALTH REVIEW'!A13),"")</f>
        <v>H-05</v>
      </c>
      <c r="AB34" t="str">
        <f>IF('03 - HEALTH REVIEW'!A13&lt;&gt;"",IF('03 - HEALTH REVIEW'!L13="","",'03 - HEALTH REVIEW'!L13),"")</f>
        <v>Production-scale recovery not demonstrated</v>
      </c>
      <c r="AC34" t="str">
        <f>IF('03 - HEALTH REVIEW'!A13&lt;&gt;"",IF('03 - HEALTH REVIEW'!F13="","",'03 - HEALTH REVIEW'!F13),"")</f>
        <v xml:space="preserve">EVIDENCE GAP BEFORE COMMITMENT </v>
      </c>
      <c r="AD34" t="str">
        <f>IF('03 - HEALTH REVIEW'!A13&lt;&gt;"",IF('03 - HEALTH REVIEW'!Q13="","",'03 - HEALTH REVIEW'!Q13),"")</f>
        <v>Commission representative rehearsal</v>
      </c>
      <c r="AE34" t="str">
        <f>IF('03 - HEALTH REVIEW'!A13&lt;&gt;"",IF('03 - HEALTH REVIEW'!H13="","",'03 - HEALTH REVIEW'!H13),"")</f>
        <v>Assurance lead</v>
      </c>
      <c r="AF34" s="17">
        <f>IF('03 - HEALTH REVIEW'!A13&lt;&gt;"",IF('03 - HEALTH REVIEW'!I13="","",'03 - HEALTH REVIEW'!I13),"")</f>
        <v>46294</v>
      </c>
      <c r="AG34" t="str">
        <f>IF('03 - HEALTH REVIEW'!A13&lt;&gt;"",IF('03 - HEALTH REVIEW'!M13="","",'03 - HEALTH REVIEW'!M13),"")</f>
        <v>Release or outcome claim remains constrained</v>
      </c>
      <c r="AH34" t="str">
        <f>IF('03 - HEALTH REVIEW'!A13&lt;&gt;"",IF('03 - HEALTH REVIEW'!N13="","",'03 - HEALTH REVIEW'!N13),"")</f>
        <v>CAP-01</v>
      </c>
      <c r="AI34" t="str">
        <f>IF('03 - HEALTH REVIEW'!A13&lt;&gt;"",IF('03 - HEALTH REVIEW'!C13="","",'03 - HEALTH REVIEW'!C13),"")</f>
        <v>Unknown</v>
      </c>
      <c r="AJ34" t="str">
        <f>IF('03 - HEALTH REVIEW'!A13&lt;&gt;"","03 - HEALTH REVIEW row 13","")</f>
        <v>03 - HEALTH REVIEW row 13</v>
      </c>
      <c r="AK34">
        <f>IF(AND('03 - HEALTH REVIEW'!A13&lt;&gt;"",OR(TRUE,'03 - HEALTH REVIEW'!F13&lt;&gt;""),OR(AC34&lt;&gt;"",AD34&lt;&gt;"")),IF(Y34="Critical",1,IF(Y34="Review",2,3))*100000000+IF(ISNUMBER(AF34),AF34,99999)*1000+ROW(),999999999999)</f>
        <v>146294034</v>
      </c>
      <c r="AL34">
        <f t="shared" si="0"/>
        <v>146294034</v>
      </c>
      <c r="AM34">
        <f>IF(AND(ISNUMBER(AK34),OR(Z34="Assurance",AND(Z34="Adoption",AC34&lt;&gt;""),OR('03 - HEALTH REVIEW'!E13="Low",'03 - HEALTH REVIEW'!C13="Unknown"))),AK34,999999999999)</f>
        <v>146294034</v>
      </c>
      <c r="AN34">
        <f t="shared" si="1"/>
        <v>999999999999</v>
      </c>
      <c r="AO34">
        <f t="shared" si="2"/>
        <v>46294034</v>
      </c>
      <c r="AP34">
        <f t="shared" si="3"/>
        <v>999999999999</v>
      </c>
      <c r="AQ34">
        <f t="shared" si="4"/>
        <v>999999999999</v>
      </c>
      <c r="AR34">
        <f t="shared" si="5"/>
        <v>1</v>
      </c>
    </row>
    <row r="35" spans="1:44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t="str">
        <f>IF('03 - HEALTH REVIEW'!A14&lt;&gt;"",IF('03 - HEALTH REVIEW'!P14="","",'03 - HEALTH REVIEW'!P14),"")</f>
        <v>Routine</v>
      </c>
      <c r="Z35" t="str">
        <f>IF('03 - HEALTH REVIEW'!A14&lt;&gt;"",IF('03 - HEALTH REVIEW'!B14="","",'03 - HEALTH REVIEW'!B14),"")</f>
        <v>Readiness</v>
      </c>
      <c r="AA35" t="str">
        <f>IF('03 - HEALTH REVIEW'!A14&lt;&gt;"",IF('03 - HEALTH REVIEW'!A14="","",'03 - HEALTH REVIEW'!A14),"")</f>
        <v>H-06</v>
      </c>
      <c r="AB35" t="str">
        <f>IF('03 - HEALTH REVIEW'!A14&lt;&gt;"",IF('03 - HEALTH REVIEW'!L14="","",'03 - HEALTH REVIEW'!L14),"")</f>
        <v>On-call access unverified</v>
      </c>
      <c r="AC35" t="str">
        <f>IF('03 - HEALTH REVIEW'!A14&lt;&gt;"",IF('03 - HEALTH REVIEW'!F14="","",'03 - HEALTH REVIEW'!F14),"")</f>
        <v/>
      </c>
      <c r="AD35" t="str">
        <f>IF('03 - HEALTH REVIEW'!A14&lt;&gt;"",IF('03 - HEALTH REVIEW'!Q14="","",'03 - HEALTH REVIEW'!Q14),"")</f>
        <v>Rehearse operator access</v>
      </c>
      <c r="AE35" t="str">
        <f>IF('03 - HEALTH REVIEW'!A14&lt;&gt;"",IF('03 - HEALTH REVIEW'!H14="","",'03 - HEALTH REVIEW'!H14),"")</f>
        <v>Service owner</v>
      </c>
      <c r="AF35" s="17">
        <f>IF('03 - HEALTH REVIEW'!A14&lt;&gt;"",IF('03 - HEALTH REVIEW'!I14="","",'03 - HEALTH REVIEW'!I14),"")</f>
        <v>46293</v>
      </c>
      <c r="AG35" t="str">
        <f>IF('03 - HEALTH REVIEW'!A14&lt;&gt;"",IF('03 - HEALTH REVIEW'!M14="","",'03 - HEALTH REVIEW'!M14),"")</f>
        <v>Release or outcome claim remains constrained</v>
      </c>
      <c r="AH35" t="str">
        <f>IF('03 - HEALTH REVIEW'!A14&lt;&gt;"",IF('03 - HEALTH REVIEW'!N14="","",'03 - HEALTH REVIEW'!N14),"")</f>
        <v>R-04</v>
      </c>
      <c r="AI35" t="str">
        <f>IF('03 - HEALTH REVIEW'!A14&lt;&gt;"",IF('03 - HEALTH REVIEW'!C14="","",'03 - HEALTH REVIEW'!C14),"")</f>
        <v>Watch</v>
      </c>
      <c r="AJ35" t="str">
        <f>IF('03 - HEALTH REVIEW'!A14&lt;&gt;"","03 - HEALTH REVIEW row 14","")</f>
        <v>03 - HEALTH REVIEW row 14</v>
      </c>
      <c r="AK35">
        <f>IF(AND('03 - HEALTH REVIEW'!A14&lt;&gt;"",OR(TRUE,'03 - HEALTH REVIEW'!F14&lt;&gt;""),OR(AC35&lt;&gt;"",AD35&lt;&gt;"")),IF(Y35="Critical",1,IF(Y35="Review",2,3))*100000000+IF(ISNUMBER(AF35),AF35,99999)*1000+ROW(),999999999999)</f>
        <v>346293035</v>
      </c>
      <c r="AL35">
        <f t="shared" si="0"/>
        <v>999999999999</v>
      </c>
      <c r="AM35">
        <f>IF(AND(ISNUMBER(AK35),OR(Z35="Assurance",AND(Z35="Adoption",AC35&lt;&gt;""),OR('03 - HEALTH REVIEW'!E14="Low",'03 - HEALTH REVIEW'!C14="Unknown"))),AK35,999999999999)</f>
        <v>999999999999</v>
      </c>
      <c r="AN35">
        <f t="shared" si="1"/>
        <v>999999999999</v>
      </c>
      <c r="AO35">
        <f t="shared" si="2"/>
        <v>46293035</v>
      </c>
      <c r="AP35">
        <f t="shared" si="3"/>
        <v>999999999999</v>
      </c>
      <c r="AQ35">
        <f t="shared" si="4"/>
        <v>999999999999</v>
      </c>
      <c r="AR35">
        <f t="shared" si="5"/>
        <v>0</v>
      </c>
    </row>
    <row r="36" spans="1:44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t="str">
        <f>IF('03 - HEALTH REVIEW'!A15&lt;&gt;"",IF('03 - HEALTH REVIEW'!P15="","",'03 - HEALTH REVIEW'!P15),"")</f>
        <v>Routine</v>
      </c>
      <c r="Z36" t="str">
        <f>IF('03 - HEALTH REVIEW'!A15&lt;&gt;"",IF('03 - HEALTH REVIEW'!B15="","",'03 - HEALTH REVIEW'!B15),"")</f>
        <v>Adoption</v>
      </c>
      <c r="AA36" t="str">
        <f>IF('03 - HEALTH REVIEW'!A15&lt;&gt;"",IF('03 - HEALTH REVIEW'!A15="","",'03 - HEALTH REVIEW'!A15),"")</f>
        <v>H-07</v>
      </c>
      <c r="AB36" t="str">
        <f>IF('03 - HEALTH REVIEW'!A15&lt;&gt;"",IF('03 - HEALTH REVIEW'!L15="","",'03 - HEALTH REVIEW'!L15),"")</f>
        <v>Eligible-user denominator missing</v>
      </c>
      <c r="AC36" t="str">
        <f>IF('03 - HEALTH REVIEW'!A15&lt;&gt;"",IF('03 - HEALTH REVIEW'!F15="","",'03 - HEALTH REVIEW'!F15),"")</f>
        <v/>
      </c>
      <c r="AD36" t="str">
        <f>IF('03 - HEALTH REVIEW'!A15&lt;&gt;"",IF('03 - HEALTH REVIEW'!Q15="","",'03 - HEALTH REVIEW'!Q15),"")</f>
        <v>Establish cohort</v>
      </c>
      <c r="AE36" t="str">
        <f>IF('03 - HEALTH REVIEW'!A15&lt;&gt;"",IF('03 - HEALTH REVIEW'!H15="","",'03 - HEALTH REVIEW'!H15),"")</f>
        <v>Business owner</v>
      </c>
      <c r="AF36" s="17">
        <f>IF('03 - HEALTH REVIEW'!A15&lt;&gt;"",IF('03 - HEALTH REVIEW'!I15="","",'03 - HEALTH REVIEW'!I15),"")</f>
        <v>46295</v>
      </c>
      <c r="AG36" t="str">
        <f>IF('03 - HEALTH REVIEW'!A15&lt;&gt;"",IF('03 - HEALTH REVIEW'!M15="","",'03 - HEALTH REVIEW'!M15),"")</f>
        <v>Release or outcome claim remains constrained</v>
      </c>
      <c r="AH36" t="str">
        <f>IF('03 - HEALTH REVIEW'!A15&lt;&gt;"",IF('03 - HEALTH REVIEW'!N15="","",'03 - HEALTH REVIEW'!N15),"")</f>
        <v>Atlas review 24 Sep</v>
      </c>
      <c r="AI36" t="str">
        <f>IF('03 - HEALTH REVIEW'!A15&lt;&gt;"",IF('03 - HEALTH REVIEW'!C15="","",'03 - HEALTH REVIEW'!C15),"")</f>
        <v>Watch</v>
      </c>
      <c r="AJ36" t="str">
        <f>IF('03 - HEALTH REVIEW'!A15&lt;&gt;"","03 - HEALTH REVIEW row 15","")</f>
        <v>03 - HEALTH REVIEW row 15</v>
      </c>
      <c r="AK36">
        <f>IF(AND('03 - HEALTH REVIEW'!A15&lt;&gt;"",OR(TRUE,'03 - HEALTH REVIEW'!F15&lt;&gt;""),OR(AC36&lt;&gt;"",AD36&lt;&gt;"")),IF(Y36="Critical",1,IF(Y36="Review",2,3))*100000000+IF(ISNUMBER(AF36),AF36,99999)*1000+ROW(),999999999999)</f>
        <v>346295036</v>
      </c>
      <c r="AL36">
        <f t="shared" si="0"/>
        <v>999999999999</v>
      </c>
      <c r="AM36">
        <f>IF(AND(ISNUMBER(AK36),OR(Z36="Assurance",AND(Z36="Adoption",AC36&lt;&gt;""),OR('03 - HEALTH REVIEW'!E15="Low",'03 - HEALTH REVIEW'!C15="Unknown"))),AK36,999999999999)</f>
        <v>346295036</v>
      </c>
      <c r="AN36">
        <f t="shared" si="1"/>
        <v>999999999999</v>
      </c>
      <c r="AO36">
        <f t="shared" si="2"/>
        <v>46295036</v>
      </c>
      <c r="AP36">
        <f t="shared" si="3"/>
        <v>999999999999</v>
      </c>
      <c r="AQ36">
        <f t="shared" si="4"/>
        <v>999999999999</v>
      </c>
      <c r="AR36">
        <f t="shared" si="5"/>
        <v>0</v>
      </c>
    </row>
    <row r="37" spans="1:44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t="str">
        <f>IF('04 - DECISION LOG'!A9&lt;&gt;"",IF('04 - DECISION LOG'!F9="","",'04 - DECISION LOG'!F9),"")</f>
        <v>Critical</v>
      </c>
      <c r="Z37" t="str">
        <f>IF('04 - DECISION LOG'!A9&lt;&gt;"","Decisions","")</f>
        <v>Decisions</v>
      </c>
      <c r="AA37" t="str">
        <f>IF('04 - DECISION LOG'!A9&lt;&gt;"",IF('04 - DECISION LOG'!A9="","",'04 - DECISION LOG'!A9),"")</f>
        <v>D-014</v>
      </c>
      <c r="AB37" t="str">
        <f>IF('04 - DECISION LOG'!A9&lt;&gt;"",IF('04 - DECISION LOG'!B9="","",'04 - DECISION LOG'!B9),"")</f>
        <v>Full release or smaller migration wave</v>
      </c>
      <c r="AC37" t="str">
        <f>IF('04 - DECISION LOG'!A9&lt;&gt;"",IF('04 - DECISION LOG'!G9="","",'04 - DECISION LOG'!G9),"")</f>
        <v xml:space="preserve">THRESHOLD EXCEEDED ESCALATION REQUIRED APPROACHING DEADLINE LINKED DEPENDENCY UNRESOLVED </v>
      </c>
      <c r="AD37" t="str">
        <f>IF('04 - DECISION LOG'!A9&lt;&gt;"",IF('04 - DECISION LOG'!H9="","",'04 - DECISION LOG'!H9),"")</f>
        <v>Escalate to named authority. Preserve original actionable date.</v>
      </c>
      <c r="AE37" t="str">
        <f>IF('04 - DECISION LOG'!A9&lt;&gt;"",IF('04 - DECISION LOG'!D9="","",'04 - DECISION LOG'!D9),"")</f>
        <v>Sponsor</v>
      </c>
      <c r="AF37" s="17">
        <f>IF('04 - DECISION LOG'!A9&lt;&gt;"",IF('04 - DECISION LOG'!E9="","",'04 - DECISION LOG'!E9),"")</f>
        <v>46290</v>
      </c>
      <c r="AG37" t="str">
        <f>IF('04 - DECISION LOG'!A9&lt;&gt;"",IF('04 - DECISION LOG'!I9="","",'04 - DECISION LOG'!I9),"")</f>
        <v>Cutover booking and supplier slot exposed</v>
      </c>
      <c r="AH37" t="str">
        <f>IF('04 - DECISION LOG'!A9&lt;&gt;"",IF('04 - DECISION LOG'!J9="","",'04 - DECISION LOG'!J9),"")</f>
        <v>Accepted connectivity and representative recovery evidence</v>
      </c>
      <c r="AI37" t="str">
        <f>IF('04 - DECISION LOG'!A9&lt;&gt;"",IF('04 - DECISION LOG'!C9="","",'04 - DECISION LOG'!C9),"")</f>
        <v>Open</v>
      </c>
      <c r="AJ37" t="str">
        <f>IF('04 - DECISION LOG'!A9&lt;&gt;"","04 - DECISION LOG row 9","")</f>
        <v>04 - DECISION LOG row 9</v>
      </c>
      <c r="AK37">
        <f>IF(AND('04 - DECISION LOG'!A9&lt;&gt;"",OR('04 - DECISION LOG'!C9="Open",'04 - DECISION LOG'!C9="Deferred",AND('04 - DECISION LOG'!C9="Decided",'04 - DECISION LOG'!AG9=""),'04 - DECISION LOG'!G9&lt;&gt;""),OR(AC37&lt;&gt;"",AD37&lt;&gt;"")),IF(Y37="Critical",1,IF(Y37="Review",2,3))*100000000+IF(ISNUMBER(AF37),AF37,99999)*1000+ROW(),999999999999)</f>
        <v>146290037</v>
      </c>
      <c r="AL37">
        <f t="shared" si="0"/>
        <v>146290037</v>
      </c>
      <c r="AM37">
        <f t="shared" ref="AM37:AM100" si="6">IF(AND(ISNUMBER(AK37),OR(Z37="Assurance",AND(Z37="Adoption",AC37&lt;&gt;""),FALSE)),AK37,999999999999)</f>
        <v>999999999999</v>
      </c>
      <c r="AN37">
        <f t="shared" si="1"/>
        <v>999999999999</v>
      </c>
      <c r="AO37">
        <f t="shared" si="2"/>
        <v>46290037</v>
      </c>
      <c r="AP37">
        <f>IF(AND(ISNUMBER(AK37),AND(OR('04 - DECISION LOG'!C9="Open",'04 - DECISION LOG'!C9="Deferred"),OR('04 - DECISION LOG'!O9="Sponsor",'04 - DECISION LOG'!O9="Steering"))),AK37,999999999999)</f>
        <v>146290037</v>
      </c>
      <c r="AQ37">
        <f t="shared" si="4"/>
        <v>999999999999</v>
      </c>
      <c r="AR37">
        <f t="shared" si="5"/>
        <v>1</v>
      </c>
    </row>
    <row r="38" spans="1:44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t="str">
        <f>IF('04 - DECISION LOG'!A10&lt;&gt;"",IF('04 - DECISION LOG'!F10="","",'04 - DECISION LOG'!F10),"")</f>
        <v/>
      </c>
      <c r="Z38" t="str">
        <f>IF('04 - DECISION LOG'!A10&lt;&gt;"","Decisions","")</f>
        <v/>
      </c>
      <c r="AA38" t="str">
        <f>IF('04 - DECISION LOG'!A10&lt;&gt;"",IF('04 - DECISION LOG'!A10="","",'04 - DECISION LOG'!A10),"")</f>
        <v/>
      </c>
      <c r="AB38" t="str">
        <f>IF('04 - DECISION LOG'!A10&lt;&gt;"",IF('04 - DECISION LOG'!B10="","",'04 - DECISION LOG'!B10),"")</f>
        <v/>
      </c>
      <c r="AC38" t="str">
        <f>IF('04 - DECISION LOG'!A10&lt;&gt;"",IF('04 - DECISION LOG'!G10="","",'04 - DECISION LOG'!G10),"")</f>
        <v/>
      </c>
      <c r="AD38" t="str">
        <f>IF('04 - DECISION LOG'!A10&lt;&gt;"",IF('04 - DECISION LOG'!H10="","",'04 - DECISION LOG'!H10),"")</f>
        <v/>
      </c>
      <c r="AE38" t="str">
        <f>IF('04 - DECISION LOG'!A10&lt;&gt;"",IF('04 - DECISION LOG'!D10="","",'04 - DECISION LOG'!D10),"")</f>
        <v/>
      </c>
      <c r="AF38" s="17" t="str">
        <f>IF('04 - DECISION LOG'!A10&lt;&gt;"",IF('04 - DECISION LOG'!E10="","",'04 - DECISION LOG'!E10),"")</f>
        <v/>
      </c>
      <c r="AG38" t="str">
        <f>IF('04 - DECISION LOG'!A10&lt;&gt;"",IF('04 - DECISION LOG'!I10="","",'04 - DECISION LOG'!I10),"")</f>
        <v/>
      </c>
      <c r="AH38" t="str">
        <f>IF('04 - DECISION LOG'!A10&lt;&gt;"",IF('04 - DECISION LOG'!J10="","",'04 - DECISION LOG'!J10),"")</f>
        <v/>
      </c>
      <c r="AI38" t="str">
        <f>IF('04 - DECISION LOG'!A10&lt;&gt;"",IF('04 - DECISION LOG'!C10="","",'04 - DECISION LOG'!C10),"")</f>
        <v/>
      </c>
      <c r="AJ38" t="str">
        <f>IF('04 - DECISION LOG'!A10&lt;&gt;"","04 - DECISION LOG row 10","")</f>
        <v/>
      </c>
      <c r="AK38">
        <f>IF(AND('04 - DECISION LOG'!A10&lt;&gt;"",OR('04 - DECISION LOG'!C10="Open",'04 - DECISION LOG'!C10="Deferred",AND('04 - DECISION LOG'!C10="Decided",'04 - DECISION LOG'!AG10=""),'04 - DECISION LOG'!G10&lt;&gt;""),OR(AC38&lt;&gt;"",AD38&lt;&gt;"")),IF(Y38="Critical",1,IF(Y38="Review",2,3))*100000000+IF(ISNUMBER(AF38),AF38,99999)*1000+ROW(),999999999999)</f>
        <v>999999999999</v>
      </c>
      <c r="AL38">
        <f t="shared" si="0"/>
        <v>999999999999</v>
      </c>
      <c r="AM38">
        <f t="shared" si="6"/>
        <v>999999999999</v>
      </c>
      <c r="AN38">
        <f t="shared" si="1"/>
        <v>999999999999</v>
      </c>
      <c r="AO38">
        <f t="shared" si="2"/>
        <v>999999999999</v>
      </c>
      <c r="AP38">
        <f>IF(AND(ISNUMBER(AK38),AND(OR('04 - DECISION LOG'!C10="Open",'04 - DECISION LOG'!C10="Deferred"),OR('04 - DECISION LOG'!O10="Sponsor",'04 - DECISION LOG'!O10="Steering"))),AK38,999999999999)</f>
        <v>999999999999</v>
      </c>
      <c r="AQ38">
        <f t="shared" si="4"/>
        <v>999999999999</v>
      </c>
      <c r="AR38">
        <f t="shared" si="5"/>
        <v>0</v>
      </c>
    </row>
    <row r="39" spans="1:44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t="str">
        <f>IF('04 - DECISION LOG'!A11&lt;&gt;"",IF('04 - DECISION LOG'!F11="","",'04 - DECISION LOG'!F11),"")</f>
        <v/>
      </c>
      <c r="Z39" t="str">
        <f>IF('04 - DECISION LOG'!A11&lt;&gt;"","Decisions","")</f>
        <v/>
      </c>
      <c r="AA39" t="str">
        <f>IF('04 - DECISION LOG'!A11&lt;&gt;"",IF('04 - DECISION LOG'!A11="","",'04 - DECISION LOG'!A11),"")</f>
        <v/>
      </c>
      <c r="AB39" t="str">
        <f>IF('04 - DECISION LOG'!A11&lt;&gt;"",IF('04 - DECISION LOG'!B11="","",'04 - DECISION LOG'!B11),"")</f>
        <v/>
      </c>
      <c r="AC39" t="str">
        <f>IF('04 - DECISION LOG'!A11&lt;&gt;"",IF('04 - DECISION LOG'!G11="","",'04 - DECISION LOG'!G11),"")</f>
        <v/>
      </c>
      <c r="AD39" t="str">
        <f>IF('04 - DECISION LOG'!A11&lt;&gt;"",IF('04 - DECISION LOG'!H11="","",'04 - DECISION LOG'!H11),"")</f>
        <v/>
      </c>
      <c r="AE39" t="str">
        <f>IF('04 - DECISION LOG'!A11&lt;&gt;"",IF('04 - DECISION LOG'!D11="","",'04 - DECISION LOG'!D11),"")</f>
        <v/>
      </c>
      <c r="AF39" s="17" t="str">
        <f>IF('04 - DECISION LOG'!A11&lt;&gt;"",IF('04 - DECISION LOG'!E11="","",'04 - DECISION LOG'!E11),"")</f>
        <v/>
      </c>
      <c r="AG39" t="str">
        <f>IF('04 - DECISION LOG'!A11&lt;&gt;"",IF('04 - DECISION LOG'!I11="","",'04 - DECISION LOG'!I11),"")</f>
        <v/>
      </c>
      <c r="AH39" t="str">
        <f>IF('04 - DECISION LOG'!A11&lt;&gt;"",IF('04 - DECISION LOG'!J11="","",'04 - DECISION LOG'!J11),"")</f>
        <v/>
      </c>
      <c r="AI39" t="str">
        <f>IF('04 - DECISION LOG'!A11&lt;&gt;"",IF('04 - DECISION LOG'!C11="","",'04 - DECISION LOG'!C11),"")</f>
        <v/>
      </c>
      <c r="AJ39" t="str">
        <f>IF('04 - DECISION LOG'!A11&lt;&gt;"","04 - DECISION LOG row 11","")</f>
        <v/>
      </c>
      <c r="AK39">
        <f>IF(AND('04 - DECISION LOG'!A11&lt;&gt;"",OR('04 - DECISION LOG'!C11="Open",'04 - DECISION LOG'!C11="Deferred",AND('04 - DECISION LOG'!C11="Decided",'04 - DECISION LOG'!AG11=""),'04 - DECISION LOG'!G11&lt;&gt;""),OR(AC39&lt;&gt;"",AD39&lt;&gt;"")),IF(Y39="Critical",1,IF(Y39="Review",2,3))*100000000+IF(ISNUMBER(AF39),AF39,99999)*1000+ROW(),999999999999)</f>
        <v>999999999999</v>
      </c>
      <c r="AL39">
        <f t="shared" si="0"/>
        <v>999999999999</v>
      </c>
      <c r="AM39">
        <f t="shared" si="6"/>
        <v>999999999999</v>
      </c>
      <c r="AN39">
        <f t="shared" si="1"/>
        <v>999999999999</v>
      </c>
      <c r="AO39">
        <f t="shared" si="2"/>
        <v>999999999999</v>
      </c>
      <c r="AP39">
        <f>IF(AND(ISNUMBER(AK39),AND(OR('04 - DECISION LOG'!C11="Open",'04 - DECISION LOG'!C11="Deferred"),OR('04 - DECISION LOG'!O11="Sponsor",'04 - DECISION LOG'!O11="Steering"))),AK39,999999999999)</f>
        <v>999999999999</v>
      </c>
      <c r="AQ39">
        <f t="shared" si="4"/>
        <v>999999999999</v>
      </c>
      <c r="AR39">
        <f t="shared" si="5"/>
        <v>0</v>
      </c>
    </row>
    <row r="40" spans="1:44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t="str">
        <f>IF('04 - DECISION LOG'!A12&lt;&gt;"",IF('04 - DECISION LOG'!F12="","",'04 - DECISION LOG'!F12),"")</f>
        <v/>
      </c>
      <c r="Z40" t="str">
        <f>IF('04 - DECISION LOG'!A12&lt;&gt;"","Decisions","")</f>
        <v/>
      </c>
      <c r="AA40" t="str">
        <f>IF('04 - DECISION LOG'!A12&lt;&gt;"",IF('04 - DECISION LOG'!A12="","",'04 - DECISION LOG'!A12),"")</f>
        <v/>
      </c>
      <c r="AB40" t="str">
        <f>IF('04 - DECISION LOG'!A12&lt;&gt;"",IF('04 - DECISION LOG'!B12="","",'04 - DECISION LOG'!B12),"")</f>
        <v/>
      </c>
      <c r="AC40" t="str">
        <f>IF('04 - DECISION LOG'!A12&lt;&gt;"",IF('04 - DECISION LOG'!G12="","",'04 - DECISION LOG'!G12),"")</f>
        <v/>
      </c>
      <c r="AD40" t="str">
        <f>IF('04 - DECISION LOG'!A12&lt;&gt;"",IF('04 - DECISION LOG'!H12="","",'04 - DECISION LOG'!H12),"")</f>
        <v/>
      </c>
      <c r="AE40" t="str">
        <f>IF('04 - DECISION LOG'!A12&lt;&gt;"",IF('04 - DECISION LOG'!D12="","",'04 - DECISION LOG'!D12),"")</f>
        <v/>
      </c>
      <c r="AF40" s="17" t="str">
        <f>IF('04 - DECISION LOG'!A12&lt;&gt;"",IF('04 - DECISION LOG'!E12="","",'04 - DECISION LOG'!E12),"")</f>
        <v/>
      </c>
      <c r="AG40" t="str">
        <f>IF('04 - DECISION LOG'!A12&lt;&gt;"",IF('04 - DECISION LOG'!I12="","",'04 - DECISION LOG'!I12),"")</f>
        <v/>
      </c>
      <c r="AH40" t="str">
        <f>IF('04 - DECISION LOG'!A12&lt;&gt;"",IF('04 - DECISION LOG'!J12="","",'04 - DECISION LOG'!J12),"")</f>
        <v/>
      </c>
      <c r="AI40" t="str">
        <f>IF('04 - DECISION LOG'!A12&lt;&gt;"",IF('04 - DECISION LOG'!C12="","",'04 - DECISION LOG'!C12),"")</f>
        <v/>
      </c>
      <c r="AJ40" t="str">
        <f>IF('04 - DECISION LOG'!A12&lt;&gt;"","04 - DECISION LOG row 12","")</f>
        <v/>
      </c>
      <c r="AK40">
        <f>IF(AND('04 - DECISION LOG'!A12&lt;&gt;"",OR('04 - DECISION LOG'!C12="Open",'04 - DECISION LOG'!C12="Deferred",AND('04 - DECISION LOG'!C12="Decided",'04 - DECISION LOG'!AG12=""),'04 - DECISION LOG'!G12&lt;&gt;""),OR(AC40&lt;&gt;"",AD40&lt;&gt;"")),IF(Y40="Critical",1,IF(Y40="Review",2,3))*100000000+IF(ISNUMBER(AF40),AF40,99999)*1000+ROW(),999999999999)</f>
        <v>999999999999</v>
      </c>
      <c r="AL40">
        <f t="shared" si="0"/>
        <v>999999999999</v>
      </c>
      <c r="AM40">
        <f t="shared" si="6"/>
        <v>999999999999</v>
      </c>
      <c r="AN40">
        <f t="shared" si="1"/>
        <v>999999999999</v>
      </c>
      <c r="AO40">
        <f t="shared" si="2"/>
        <v>999999999999</v>
      </c>
      <c r="AP40">
        <f>IF(AND(ISNUMBER(AK40),AND(OR('04 - DECISION LOG'!C12="Open",'04 - DECISION LOG'!C12="Deferred"),OR('04 - DECISION LOG'!O12="Sponsor",'04 - DECISION LOG'!O12="Steering"))),AK40,999999999999)</f>
        <v>999999999999</v>
      </c>
      <c r="AQ40">
        <f t="shared" si="4"/>
        <v>999999999999</v>
      </c>
      <c r="AR40">
        <f t="shared" si="5"/>
        <v>0</v>
      </c>
    </row>
    <row r="41" spans="1:44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t="str">
        <f>IF('04 - DECISION LOG'!A13&lt;&gt;"",IF('04 - DECISION LOG'!F13="","",'04 - DECISION LOG'!F13),"")</f>
        <v/>
      </c>
      <c r="Z41" t="str">
        <f>IF('04 - DECISION LOG'!A13&lt;&gt;"","Decisions","")</f>
        <v/>
      </c>
      <c r="AA41" t="str">
        <f>IF('04 - DECISION LOG'!A13&lt;&gt;"",IF('04 - DECISION LOG'!A13="","",'04 - DECISION LOG'!A13),"")</f>
        <v/>
      </c>
      <c r="AB41" t="str">
        <f>IF('04 - DECISION LOG'!A13&lt;&gt;"",IF('04 - DECISION LOG'!B13="","",'04 - DECISION LOG'!B13),"")</f>
        <v/>
      </c>
      <c r="AC41" t="str">
        <f>IF('04 - DECISION LOG'!A13&lt;&gt;"",IF('04 - DECISION LOG'!G13="","",'04 - DECISION LOG'!G13),"")</f>
        <v/>
      </c>
      <c r="AD41" t="str">
        <f>IF('04 - DECISION LOG'!A13&lt;&gt;"",IF('04 - DECISION LOG'!H13="","",'04 - DECISION LOG'!H13),"")</f>
        <v/>
      </c>
      <c r="AE41" t="str">
        <f>IF('04 - DECISION LOG'!A13&lt;&gt;"",IF('04 - DECISION LOG'!D13="","",'04 - DECISION LOG'!D13),"")</f>
        <v/>
      </c>
      <c r="AF41" s="17" t="str">
        <f>IF('04 - DECISION LOG'!A13&lt;&gt;"",IF('04 - DECISION LOG'!E13="","",'04 - DECISION LOG'!E13),"")</f>
        <v/>
      </c>
      <c r="AG41" t="str">
        <f>IF('04 - DECISION LOG'!A13&lt;&gt;"",IF('04 - DECISION LOG'!I13="","",'04 - DECISION LOG'!I13),"")</f>
        <v/>
      </c>
      <c r="AH41" t="str">
        <f>IF('04 - DECISION LOG'!A13&lt;&gt;"",IF('04 - DECISION LOG'!J13="","",'04 - DECISION LOG'!J13),"")</f>
        <v/>
      </c>
      <c r="AI41" t="str">
        <f>IF('04 - DECISION LOG'!A13&lt;&gt;"",IF('04 - DECISION LOG'!C13="","",'04 - DECISION LOG'!C13),"")</f>
        <v/>
      </c>
      <c r="AJ41" t="str">
        <f>IF('04 - DECISION LOG'!A13&lt;&gt;"","04 - DECISION LOG row 13","")</f>
        <v/>
      </c>
      <c r="AK41">
        <f>IF(AND('04 - DECISION LOG'!A13&lt;&gt;"",OR('04 - DECISION LOG'!C13="Open",'04 - DECISION LOG'!C13="Deferred",AND('04 - DECISION LOG'!C13="Decided",'04 - DECISION LOG'!AG13=""),'04 - DECISION LOG'!G13&lt;&gt;""),OR(AC41&lt;&gt;"",AD41&lt;&gt;"")),IF(Y41="Critical",1,IF(Y41="Review",2,3))*100000000+IF(ISNUMBER(AF41),AF41,99999)*1000+ROW(),999999999999)</f>
        <v>999999999999</v>
      </c>
      <c r="AL41">
        <f t="shared" si="0"/>
        <v>999999999999</v>
      </c>
      <c r="AM41">
        <f t="shared" si="6"/>
        <v>999999999999</v>
      </c>
      <c r="AN41">
        <f t="shared" si="1"/>
        <v>999999999999</v>
      </c>
      <c r="AO41">
        <f t="shared" si="2"/>
        <v>999999999999</v>
      </c>
      <c r="AP41">
        <f>IF(AND(ISNUMBER(AK41),AND(OR('04 - DECISION LOG'!C13="Open",'04 - DECISION LOG'!C13="Deferred"),OR('04 - DECISION LOG'!O13="Sponsor",'04 - DECISION LOG'!O13="Steering"))),AK41,999999999999)</f>
        <v>999999999999</v>
      </c>
      <c r="AQ41">
        <f t="shared" si="4"/>
        <v>999999999999</v>
      </c>
      <c r="AR41">
        <f t="shared" si="5"/>
        <v>0</v>
      </c>
    </row>
    <row r="42" spans="1:44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t="str">
        <f>IF('04 - DECISION LOG'!A14&lt;&gt;"",IF('04 - DECISION LOG'!F14="","",'04 - DECISION LOG'!F14),"")</f>
        <v/>
      </c>
      <c r="Z42" t="str">
        <f>IF('04 - DECISION LOG'!A14&lt;&gt;"","Decisions","")</f>
        <v/>
      </c>
      <c r="AA42" t="str">
        <f>IF('04 - DECISION LOG'!A14&lt;&gt;"",IF('04 - DECISION LOG'!A14="","",'04 - DECISION LOG'!A14),"")</f>
        <v/>
      </c>
      <c r="AB42" t="str">
        <f>IF('04 - DECISION LOG'!A14&lt;&gt;"",IF('04 - DECISION LOG'!B14="","",'04 - DECISION LOG'!B14),"")</f>
        <v/>
      </c>
      <c r="AC42" t="str">
        <f>IF('04 - DECISION LOG'!A14&lt;&gt;"",IF('04 - DECISION LOG'!G14="","",'04 - DECISION LOG'!G14),"")</f>
        <v/>
      </c>
      <c r="AD42" t="str">
        <f>IF('04 - DECISION LOG'!A14&lt;&gt;"",IF('04 - DECISION LOG'!H14="","",'04 - DECISION LOG'!H14),"")</f>
        <v/>
      </c>
      <c r="AE42" t="str">
        <f>IF('04 - DECISION LOG'!A14&lt;&gt;"",IF('04 - DECISION LOG'!D14="","",'04 - DECISION LOG'!D14),"")</f>
        <v/>
      </c>
      <c r="AF42" s="17" t="str">
        <f>IF('04 - DECISION LOG'!A14&lt;&gt;"",IF('04 - DECISION LOG'!E14="","",'04 - DECISION LOG'!E14),"")</f>
        <v/>
      </c>
      <c r="AG42" t="str">
        <f>IF('04 - DECISION LOG'!A14&lt;&gt;"",IF('04 - DECISION LOG'!I14="","",'04 - DECISION LOG'!I14),"")</f>
        <v/>
      </c>
      <c r="AH42" t="str">
        <f>IF('04 - DECISION LOG'!A14&lt;&gt;"",IF('04 - DECISION LOG'!J14="","",'04 - DECISION LOG'!J14),"")</f>
        <v/>
      </c>
      <c r="AI42" t="str">
        <f>IF('04 - DECISION LOG'!A14&lt;&gt;"",IF('04 - DECISION LOG'!C14="","",'04 - DECISION LOG'!C14),"")</f>
        <v/>
      </c>
      <c r="AJ42" t="str">
        <f>IF('04 - DECISION LOG'!A14&lt;&gt;"","04 - DECISION LOG row 14","")</f>
        <v/>
      </c>
      <c r="AK42">
        <f>IF(AND('04 - DECISION LOG'!A14&lt;&gt;"",OR('04 - DECISION LOG'!C14="Open",'04 - DECISION LOG'!C14="Deferred",AND('04 - DECISION LOG'!C14="Decided",'04 - DECISION LOG'!AG14=""),'04 - DECISION LOG'!G14&lt;&gt;""),OR(AC42&lt;&gt;"",AD42&lt;&gt;"")),IF(Y42="Critical",1,IF(Y42="Review",2,3))*100000000+IF(ISNUMBER(AF42),AF42,99999)*1000+ROW(),999999999999)</f>
        <v>999999999999</v>
      </c>
      <c r="AL42">
        <f t="shared" si="0"/>
        <v>999999999999</v>
      </c>
      <c r="AM42">
        <f t="shared" si="6"/>
        <v>999999999999</v>
      </c>
      <c r="AN42">
        <f t="shared" si="1"/>
        <v>999999999999</v>
      </c>
      <c r="AO42">
        <f t="shared" si="2"/>
        <v>999999999999</v>
      </c>
      <c r="AP42">
        <f>IF(AND(ISNUMBER(AK42),AND(OR('04 - DECISION LOG'!C14="Open",'04 - DECISION LOG'!C14="Deferred"),OR('04 - DECISION LOG'!O14="Sponsor",'04 - DECISION LOG'!O14="Steering"))),AK42,999999999999)</f>
        <v>999999999999</v>
      </c>
      <c r="AQ42">
        <f t="shared" si="4"/>
        <v>999999999999</v>
      </c>
      <c r="AR42">
        <f t="shared" si="5"/>
        <v>0</v>
      </c>
    </row>
    <row r="43" spans="1:44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t="str">
        <f>IF('04 - DECISION LOG'!A15&lt;&gt;"",IF('04 - DECISION LOG'!F15="","",'04 - DECISION LOG'!F15),"")</f>
        <v/>
      </c>
      <c r="Z43" t="str">
        <f>IF('04 - DECISION LOG'!A15&lt;&gt;"","Decisions","")</f>
        <v/>
      </c>
      <c r="AA43" t="str">
        <f>IF('04 - DECISION LOG'!A15&lt;&gt;"",IF('04 - DECISION LOG'!A15="","",'04 - DECISION LOG'!A15),"")</f>
        <v/>
      </c>
      <c r="AB43" t="str">
        <f>IF('04 - DECISION LOG'!A15&lt;&gt;"",IF('04 - DECISION LOG'!B15="","",'04 - DECISION LOG'!B15),"")</f>
        <v/>
      </c>
      <c r="AC43" t="str">
        <f>IF('04 - DECISION LOG'!A15&lt;&gt;"",IF('04 - DECISION LOG'!G15="","",'04 - DECISION LOG'!G15),"")</f>
        <v/>
      </c>
      <c r="AD43" t="str">
        <f>IF('04 - DECISION LOG'!A15&lt;&gt;"",IF('04 - DECISION LOG'!H15="","",'04 - DECISION LOG'!H15),"")</f>
        <v/>
      </c>
      <c r="AE43" t="str">
        <f>IF('04 - DECISION LOG'!A15&lt;&gt;"",IF('04 - DECISION LOG'!D15="","",'04 - DECISION LOG'!D15),"")</f>
        <v/>
      </c>
      <c r="AF43" s="17" t="str">
        <f>IF('04 - DECISION LOG'!A15&lt;&gt;"",IF('04 - DECISION LOG'!E15="","",'04 - DECISION LOG'!E15),"")</f>
        <v/>
      </c>
      <c r="AG43" t="str">
        <f>IF('04 - DECISION LOG'!A15&lt;&gt;"",IF('04 - DECISION LOG'!I15="","",'04 - DECISION LOG'!I15),"")</f>
        <v/>
      </c>
      <c r="AH43" t="str">
        <f>IF('04 - DECISION LOG'!A15&lt;&gt;"",IF('04 - DECISION LOG'!J15="","",'04 - DECISION LOG'!J15),"")</f>
        <v/>
      </c>
      <c r="AI43" t="str">
        <f>IF('04 - DECISION LOG'!A15&lt;&gt;"",IF('04 - DECISION LOG'!C15="","",'04 - DECISION LOG'!C15),"")</f>
        <v/>
      </c>
      <c r="AJ43" t="str">
        <f>IF('04 - DECISION LOG'!A15&lt;&gt;"","04 - DECISION LOG row 15","")</f>
        <v/>
      </c>
      <c r="AK43">
        <f>IF(AND('04 - DECISION LOG'!A15&lt;&gt;"",OR('04 - DECISION LOG'!C15="Open",'04 - DECISION LOG'!C15="Deferred",AND('04 - DECISION LOG'!C15="Decided",'04 - DECISION LOG'!AG15=""),'04 - DECISION LOG'!G15&lt;&gt;""),OR(AC43&lt;&gt;"",AD43&lt;&gt;"")),IF(Y43="Critical",1,IF(Y43="Review",2,3))*100000000+IF(ISNUMBER(AF43),AF43,99999)*1000+ROW(),999999999999)</f>
        <v>999999999999</v>
      </c>
      <c r="AL43">
        <f t="shared" si="0"/>
        <v>999999999999</v>
      </c>
      <c r="AM43">
        <f t="shared" si="6"/>
        <v>999999999999</v>
      </c>
      <c r="AN43">
        <f t="shared" si="1"/>
        <v>999999999999</v>
      </c>
      <c r="AO43">
        <f t="shared" si="2"/>
        <v>999999999999</v>
      </c>
      <c r="AP43">
        <f>IF(AND(ISNUMBER(AK43),AND(OR('04 - DECISION LOG'!C15="Open",'04 - DECISION LOG'!C15="Deferred"),OR('04 - DECISION LOG'!O15="Sponsor",'04 - DECISION LOG'!O15="Steering"))),AK43,999999999999)</f>
        <v>999999999999</v>
      </c>
      <c r="AQ43">
        <f t="shared" si="4"/>
        <v>999999999999</v>
      </c>
      <c r="AR43">
        <f t="shared" si="5"/>
        <v>0</v>
      </c>
    </row>
    <row r="44" spans="1:44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t="str">
        <f>IF('04 - DECISION LOG'!A16&lt;&gt;"",IF('04 - DECISION LOG'!F16="","",'04 - DECISION LOG'!F16),"")</f>
        <v/>
      </c>
      <c r="Z44" t="str">
        <f>IF('04 - DECISION LOG'!A16&lt;&gt;"","Decisions","")</f>
        <v/>
      </c>
      <c r="AA44" t="str">
        <f>IF('04 - DECISION LOG'!A16&lt;&gt;"",IF('04 - DECISION LOG'!A16="","",'04 - DECISION LOG'!A16),"")</f>
        <v/>
      </c>
      <c r="AB44" t="str">
        <f>IF('04 - DECISION LOG'!A16&lt;&gt;"",IF('04 - DECISION LOG'!B16="","",'04 - DECISION LOG'!B16),"")</f>
        <v/>
      </c>
      <c r="AC44" t="str">
        <f>IF('04 - DECISION LOG'!A16&lt;&gt;"",IF('04 - DECISION LOG'!G16="","",'04 - DECISION LOG'!G16),"")</f>
        <v/>
      </c>
      <c r="AD44" t="str">
        <f>IF('04 - DECISION LOG'!A16&lt;&gt;"",IF('04 - DECISION LOG'!H16="","",'04 - DECISION LOG'!H16),"")</f>
        <v/>
      </c>
      <c r="AE44" t="str">
        <f>IF('04 - DECISION LOG'!A16&lt;&gt;"",IF('04 - DECISION LOG'!D16="","",'04 - DECISION LOG'!D16),"")</f>
        <v/>
      </c>
      <c r="AF44" s="17" t="str">
        <f>IF('04 - DECISION LOG'!A16&lt;&gt;"",IF('04 - DECISION LOG'!E16="","",'04 - DECISION LOG'!E16),"")</f>
        <v/>
      </c>
      <c r="AG44" t="str">
        <f>IF('04 - DECISION LOG'!A16&lt;&gt;"",IF('04 - DECISION LOG'!I16="","",'04 - DECISION LOG'!I16),"")</f>
        <v/>
      </c>
      <c r="AH44" t="str">
        <f>IF('04 - DECISION LOG'!A16&lt;&gt;"",IF('04 - DECISION LOG'!J16="","",'04 - DECISION LOG'!J16),"")</f>
        <v/>
      </c>
      <c r="AI44" t="str">
        <f>IF('04 - DECISION LOG'!A16&lt;&gt;"",IF('04 - DECISION LOG'!C16="","",'04 - DECISION LOG'!C16),"")</f>
        <v/>
      </c>
      <c r="AJ44" t="str">
        <f>IF('04 - DECISION LOG'!A16&lt;&gt;"","04 - DECISION LOG row 16","")</f>
        <v/>
      </c>
      <c r="AK44">
        <f>IF(AND('04 - DECISION LOG'!A16&lt;&gt;"",OR('04 - DECISION LOG'!C16="Open",'04 - DECISION LOG'!C16="Deferred",AND('04 - DECISION LOG'!C16="Decided",'04 - DECISION LOG'!AG16=""),'04 - DECISION LOG'!G16&lt;&gt;""),OR(AC44&lt;&gt;"",AD44&lt;&gt;"")),IF(Y44="Critical",1,IF(Y44="Review",2,3))*100000000+IF(ISNUMBER(AF44),AF44,99999)*1000+ROW(),999999999999)</f>
        <v>999999999999</v>
      </c>
      <c r="AL44">
        <f t="shared" si="0"/>
        <v>999999999999</v>
      </c>
      <c r="AM44">
        <f t="shared" si="6"/>
        <v>999999999999</v>
      </c>
      <c r="AN44">
        <f t="shared" si="1"/>
        <v>999999999999</v>
      </c>
      <c r="AO44">
        <f t="shared" si="2"/>
        <v>999999999999</v>
      </c>
      <c r="AP44">
        <f>IF(AND(ISNUMBER(AK44),AND(OR('04 - DECISION LOG'!C16="Open",'04 - DECISION LOG'!C16="Deferred"),OR('04 - DECISION LOG'!O16="Sponsor",'04 - DECISION LOG'!O16="Steering"))),AK44,999999999999)</f>
        <v>999999999999</v>
      </c>
      <c r="AQ44">
        <f t="shared" si="4"/>
        <v>999999999999</v>
      </c>
      <c r="AR44">
        <f t="shared" si="5"/>
        <v>0</v>
      </c>
    </row>
    <row r="45" spans="1:44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t="str">
        <f>IF('04 - DECISION LOG'!A17&lt;&gt;"",IF('04 - DECISION LOG'!F17="","",'04 - DECISION LOG'!F17),"")</f>
        <v/>
      </c>
      <c r="Z45" t="str">
        <f>IF('04 - DECISION LOG'!A17&lt;&gt;"","Decisions","")</f>
        <v/>
      </c>
      <c r="AA45" t="str">
        <f>IF('04 - DECISION LOG'!A17&lt;&gt;"",IF('04 - DECISION LOG'!A17="","",'04 - DECISION LOG'!A17),"")</f>
        <v/>
      </c>
      <c r="AB45" t="str">
        <f>IF('04 - DECISION LOG'!A17&lt;&gt;"",IF('04 - DECISION LOG'!B17="","",'04 - DECISION LOG'!B17),"")</f>
        <v/>
      </c>
      <c r="AC45" t="str">
        <f>IF('04 - DECISION LOG'!A17&lt;&gt;"",IF('04 - DECISION LOG'!G17="","",'04 - DECISION LOG'!G17),"")</f>
        <v/>
      </c>
      <c r="AD45" t="str">
        <f>IF('04 - DECISION LOG'!A17&lt;&gt;"",IF('04 - DECISION LOG'!H17="","",'04 - DECISION LOG'!H17),"")</f>
        <v/>
      </c>
      <c r="AE45" t="str">
        <f>IF('04 - DECISION LOG'!A17&lt;&gt;"",IF('04 - DECISION LOG'!D17="","",'04 - DECISION LOG'!D17),"")</f>
        <v/>
      </c>
      <c r="AF45" s="17" t="str">
        <f>IF('04 - DECISION LOG'!A17&lt;&gt;"",IF('04 - DECISION LOG'!E17="","",'04 - DECISION LOG'!E17),"")</f>
        <v/>
      </c>
      <c r="AG45" t="str">
        <f>IF('04 - DECISION LOG'!A17&lt;&gt;"",IF('04 - DECISION LOG'!I17="","",'04 - DECISION LOG'!I17),"")</f>
        <v/>
      </c>
      <c r="AH45" t="str">
        <f>IF('04 - DECISION LOG'!A17&lt;&gt;"",IF('04 - DECISION LOG'!J17="","",'04 - DECISION LOG'!J17),"")</f>
        <v/>
      </c>
      <c r="AI45" t="str">
        <f>IF('04 - DECISION LOG'!A17&lt;&gt;"",IF('04 - DECISION LOG'!C17="","",'04 - DECISION LOG'!C17),"")</f>
        <v/>
      </c>
      <c r="AJ45" t="str">
        <f>IF('04 - DECISION LOG'!A17&lt;&gt;"","04 - DECISION LOG row 17","")</f>
        <v/>
      </c>
      <c r="AK45">
        <f>IF(AND('04 - DECISION LOG'!A17&lt;&gt;"",OR('04 - DECISION LOG'!C17="Open",'04 - DECISION LOG'!C17="Deferred",AND('04 - DECISION LOG'!C17="Decided",'04 - DECISION LOG'!AG17=""),'04 - DECISION LOG'!G17&lt;&gt;""),OR(AC45&lt;&gt;"",AD45&lt;&gt;"")),IF(Y45="Critical",1,IF(Y45="Review",2,3))*100000000+IF(ISNUMBER(AF45),AF45,99999)*1000+ROW(),999999999999)</f>
        <v>999999999999</v>
      </c>
      <c r="AL45">
        <f t="shared" si="0"/>
        <v>999999999999</v>
      </c>
      <c r="AM45">
        <f t="shared" si="6"/>
        <v>999999999999</v>
      </c>
      <c r="AN45">
        <f t="shared" si="1"/>
        <v>999999999999</v>
      </c>
      <c r="AO45">
        <f t="shared" si="2"/>
        <v>999999999999</v>
      </c>
      <c r="AP45">
        <f>IF(AND(ISNUMBER(AK45),AND(OR('04 - DECISION LOG'!C17="Open",'04 - DECISION LOG'!C17="Deferred"),OR('04 - DECISION LOG'!O17="Sponsor",'04 - DECISION LOG'!O17="Steering"))),AK45,999999999999)</f>
        <v>999999999999</v>
      </c>
      <c r="AQ45">
        <f t="shared" si="4"/>
        <v>999999999999</v>
      </c>
      <c r="AR45">
        <f t="shared" si="5"/>
        <v>0</v>
      </c>
    </row>
    <row r="46" spans="1:44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t="str">
        <f>IF('04 - DECISION LOG'!A18&lt;&gt;"",IF('04 - DECISION LOG'!F18="","",'04 - DECISION LOG'!F18),"")</f>
        <v/>
      </c>
      <c r="Z46" t="str">
        <f>IF('04 - DECISION LOG'!A18&lt;&gt;"","Decisions","")</f>
        <v/>
      </c>
      <c r="AA46" t="str">
        <f>IF('04 - DECISION LOG'!A18&lt;&gt;"",IF('04 - DECISION LOG'!A18="","",'04 - DECISION LOG'!A18),"")</f>
        <v/>
      </c>
      <c r="AB46" t="str">
        <f>IF('04 - DECISION LOG'!A18&lt;&gt;"",IF('04 - DECISION LOG'!B18="","",'04 - DECISION LOG'!B18),"")</f>
        <v/>
      </c>
      <c r="AC46" t="str">
        <f>IF('04 - DECISION LOG'!A18&lt;&gt;"",IF('04 - DECISION LOG'!G18="","",'04 - DECISION LOG'!G18),"")</f>
        <v/>
      </c>
      <c r="AD46" t="str">
        <f>IF('04 - DECISION LOG'!A18&lt;&gt;"",IF('04 - DECISION LOG'!H18="","",'04 - DECISION LOG'!H18),"")</f>
        <v/>
      </c>
      <c r="AE46" t="str">
        <f>IF('04 - DECISION LOG'!A18&lt;&gt;"",IF('04 - DECISION LOG'!D18="","",'04 - DECISION LOG'!D18),"")</f>
        <v/>
      </c>
      <c r="AF46" s="17" t="str">
        <f>IF('04 - DECISION LOG'!A18&lt;&gt;"",IF('04 - DECISION LOG'!E18="","",'04 - DECISION LOG'!E18),"")</f>
        <v/>
      </c>
      <c r="AG46" t="str">
        <f>IF('04 - DECISION LOG'!A18&lt;&gt;"",IF('04 - DECISION LOG'!I18="","",'04 - DECISION LOG'!I18),"")</f>
        <v/>
      </c>
      <c r="AH46" t="str">
        <f>IF('04 - DECISION LOG'!A18&lt;&gt;"",IF('04 - DECISION LOG'!J18="","",'04 - DECISION LOG'!J18),"")</f>
        <v/>
      </c>
      <c r="AI46" t="str">
        <f>IF('04 - DECISION LOG'!A18&lt;&gt;"",IF('04 - DECISION LOG'!C18="","",'04 - DECISION LOG'!C18),"")</f>
        <v/>
      </c>
      <c r="AJ46" t="str">
        <f>IF('04 - DECISION LOG'!A18&lt;&gt;"","04 - DECISION LOG row 18","")</f>
        <v/>
      </c>
      <c r="AK46">
        <f>IF(AND('04 - DECISION LOG'!A18&lt;&gt;"",OR('04 - DECISION LOG'!C18="Open",'04 - DECISION LOG'!C18="Deferred",AND('04 - DECISION LOG'!C18="Decided",'04 - DECISION LOG'!AG18=""),'04 - DECISION LOG'!G18&lt;&gt;""),OR(AC46&lt;&gt;"",AD46&lt;&gt;"")),IF(Y46="Critical",1,IF(Y46="Review",2,3))*100000000+IF(ISNUMBER(AF46),AF46,99999)*1000+ROW(),999999999999)</f>
        <v>999999999999</v>
      </c>
      <c r="AL46">
        <f t="shared" si="0"/>
        <v>999999999999</v>
      </c>
      <c r="AM46">
        <f t="shared" si="6"/>
        <v>999999999999</v>
      </c>
      <c r="AN46">
        <f t="shared" si="1"/>
        <v>999999999999</v>
      </c>
      <c r="AO46">
        <f t="shared" si="2"/>
        <v>999999999999</v>
      </c>
      <c r="AP46">
        <f>IF(AND(ISNUMBER(AK46),AND(OR('04 - DECISION LOG'!C18="Open",'04 - DECISION LOG'!C18="Deferred"),OR('04 - DECISION LOG'!O18="Sponsor",'04 - DECISION LOG'!O18="Steering"))),AK46,999999999999)</f>
        <v>999999999999</v>
      </c>
      <c r="AQ46">
        <f t="shared" si="4"/>
        <v>999999999999</v>
      </c>
      <c r="AR46">
        <f t="shared" si="5"/>
        <v>0</v>
      </c>
    </row>
    <row r="47" spans="1:44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t="str">
        <f>IF('04 - DECISION LOG'!A19&lt;&gt;"",IF('04 - DECISION LOG'!F19="","",'04 - DECISION LOG'!F19),"")</f>
        <v/>
      </c>
      <c r="Z47" t="str">
        <f>IF('04 - DECISION LOG'!A19&lt;&gt;"","Decisions","")</f>
        <v/>
      </c>
      <c r="AA47" t="str">
        <f>IF('04 - DECISION LOG'!A19&lt;&gt;"",IF('04 - DECISION LOG'!A19="","",'04 - DECISION LOG'!A19),"")</f>
        <v/>
      </c>
      <c r="AB47" t="str">
        <f>IF('04 - DECISION LOG'!A19&lt;&gt;"",IF('04 - DECISION LOG'!B19="","",'04 - DECISION LOG'!B19),"")</f>
        <v/>
      </c>
      <c r="AC47" t="str">
        <f>IF('04 - DECISION LOG'!A19&lt;&gt;"",IF('04 - DECISION LOG'!G19="","",'04 - DECISION LOG'!G19),"")</f>
        <v/>
      </c>
      <c r="AD47" t="str">
        <f>IF('04 - DECISION LOG'!A19&lt;&gt;"",IF('04 - DECISION LOG'!H19="","",'04 - DECISION LOG'!H19),"")</f>
        <v/>
      </c>
      <c r="AE47" t="str">
        <f>IF('04 - DECISION LOG'!A19&lt;&gt;"",IF('04 - DECISION LOG'!D19="","",'04 - DECISION LOG'!D19),"")</f>
        <v/>
      </c>
      <c r="AF47" s="17" t="str">
        <f>IF('04 - DECISION LOG'!A19&lt;&gt;"",IF('04 - DECISION LOG'!E19="","",'04 - DECISION LOG'!E19),"")</f>
        <v/>
      </c>
      <c r="AG47" t="str">
        <f>IF('04 - DECISION LOG'!A19&lt;&gt;"",IF('04 - DECISION LOG'!I19="","",'04 - DECISION LOG'!I19),"")</f>
        <v/>
      </c>
      <c r="AH47" t="str">
        <f>IF('04 - DECISION LOG'!A19&lt;&gt;"",IF('04 - DECISION LOG'!J19="","",'04 - DECISION LOG'!J19),"")</f>
        <v/>
      </c>
      <c r="AI47" t="str">
        <f>IF('04 - DECISION LOG'!A19&lt;&gt;"",IF('04 - DECISION LOG'!C19="","",'04 - DECISION LOG'!C19),"")</f>
        <v/>
      </c>
      <c r="AJ47" t="str">
        <f>IF('04 - DECISION LOG'!A19&lt;&gt;"","04 - DECISION LOG row 19","")</f>
        <v/>
      </c>
      <c r="AK47">
        <f>IF(AND('04 - DECISION LOG'!A19&lt;&gt;"",OR('04 - DECISION LOG'!C19="Open",'04 - DECISION LOG'!C19="Deferred",AND('04 - DECISION LOG'!C19="Decided",'04 - DECISION LOG'!AG19=""),'04 - DECISION LOG'!G19&lt;&gt;""),OR(AC47&lt;&gt;"",AD47&lt;&gt;"")),IF(Y47="Critical",1,IF(Y47="Review",2,3))*100000000+IF(ISNUMBER(AF47),AF47,99999)*1000+ROW(),999999999999)</f>
        <v>999999999999</v>
      </c>
      <c r="AL47">
        <f t="shared" si="0"/>
        <v>999999999999</v>
      </c>
      <c r="AM47">
        <f t="shared" si="6"/>
        <v>999999999999</v>
      </c>
      <c r="AN47">
        <f t="shared" si="1"/>
        <v>999999999999</v>
      </c>
      <c r="AO47">
        <f t="shared" si="2"/>
        <v>999999999999</v>
      </c>
      <c r="AP47">
        <f>IF(AND(ISNUMBER(AK47),AND(OR('04 - DECISION LOG'!C19="Open",'04 - DECISION LOG'!C19="Deferred"),OR('04 - DECISION LOG'!O19="Sponsor",'04 - DECISION LOG'!O19="Steering"))),AK47,999999999999)</f>
        <v>999999999999</v>
      </c>
      <c r="AQ47">
        <f t="shared" si="4"/>
        <v>999999999999</v>
      </c>
      <c r="AR47">
        <f t="shared" si="5"/>
        <v>0</v>
      </c>
    </row>
    <row r="48" spans="1:44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t="str">
        <f>IF('04 - DECISION LOG'!A20&lt;&gt;"",IF('04 - DECISION LOG'!F20="","",'04 - DECISION LOG'!F20),"")</f>
        <v/>
      </c>
      <c r="Z48" t="str">
        <f>IF('04 - DECISION LOG'!A20&lt;&gt;"","Decisions","")</f>
        <v/>
      </c>
      <c r="AA48" t="str">
        <f>IF('04 - DECISION LOG'!A20&lt;&gt;"",IF('04 - DECISION LOG'!A20="","",'04 - DECISION LOG'!A20),"")</f>
        <v/>
      </c>
      <c r="AB48" t="str">
        <f>IF('04 - DECISION LOG'!A20&lt;&gt;"",IF('04 - DECISION LOG'!B20="","",'04 - DECISION LOG'!B20),"")</f>
        <v/>
      </c>
      <c r="AC48" t="str">
        <f>IF('04 - DECISION LOG'!A20&lt;&gt;"",IF('04 - DECISION LOG'!G20="","",'04 - DECISION LOG'!G20),"")</f>
        <v/>
      </c>
      <c r="AD48" t="str">
        <f>IF('04 - DECISION LOG'!A20&lt;&gt;"",IF('04 - DECISION LOG'!H20="","",'04 - DECISION LOG'!H20),"")</f>
        <v/>
      </c>
      <c r="AE48" t="str">
        <f>IF('04 - DECISION LOG'!A20&lt;&gt;"",IF('04 - DECISION LOG'!D20="","",'04 - DECISION LOG'!D20),"")</f>
        <v/>
      </c>
      <c r="AF48" s="17" t="str">
        <f>IF('04 - DECISION LOG'!A20&lt;&gt;"",IF('04 - DECISION LOG'!E20="","",'04 - DECISION LOG'!E20),"")</f>
        <v/>
      </c>
      <c r="AG48" t="str">
        <f>IF('04 - DECISION LOG'!A20&lt;&gt;"",IF('04 - DECISION LOG'!I20="","",'04 - DECISION LOG'!I20),"")</f>
        <v/>
      </c>
      <c r="AH48" t="str">
        <f>IF('04 - DECISION LOG'!A20&lt;&gt;"",IF('04 - DECISION LOG'!J20="","",'04 - DECISION LOG'!J20),"")</f>
        <v/>
      </c>
      <c r="AI48" t="str">
        <f>IF('04 - DECISION LOG'!A20&lt;&gt;"",IF('04 - DECISION LOG'!C20="","",'04 - DECISION LOG'!C20),"")</f>
        <v/>
      </c>
      <c r="AJ48" t="str">
        <f>IF('04 - DECISION LOG'!A20&lt;&gt;"","04 - DECISION LOG row 20","")</f>
        <v/>
      </c>
      <c r="AK48">
        <f>IF(AND('04 - DECISION LOG'!A20&lt;&gt;"",OR('04 - DECISION LOG'!C20="Open",'04 - DECISION LOG'!C20="Deferred",AND('04 - DECISION LOG'!C20="Decided",'04 - DECISION LOG'!AG20=""),'04 - DECISION LOG'!G20&lt;&gt;""),OR(AC48&lt;&gt;"",AD48&lt;&gt;"")),IF(Y48="Critical",1,IF(Y48="Review",2,3))*100000000+IF(ISNUMBER(AF48),AF48,99999)*1000+ROW(),999999999999)</f>
        <v>999999999999</v>
      </c>
      <c r="AL48">
        <f t="shared" si="0"/>
        <v>999999999999</v>
      </c>
      <c r="AM48">
        <f t="shared" si="6"/>
        <v>999999999999</v>
      </c>
      <c r="AN48">
        <f t="shared" si="1"/>
        <v>999999999999</v>
      </c>
      <c r="AO48">
        <f t="shared" si="2"/>
        <v>999999999999</v>
      </c>
      <c r="AP48">
        <f>IF(AND(ISNUMBER(AK48),AND(OR('04 - DECISION LOG'!C20="Open",'04 - DECISION LOG'!C20="Deferred"),OR('04 - DECISION LOG'!O20="Sponsor",'04 - DECISION LOG'!O20="Steering"))),AK48,999999999999)</f>
        <v>999999999999</v>
      </c>
      <c r="AQ48">
        <f t="shared" si="4"/>
        <v>999999999999</v>
      </c>
      <c r="AR48">
        <f t="shared" si="5"/>
        <v>0</v>
      </c>
    </row>
    <row r="49" spans="1:44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t="str">
        <f>IF('04 - DECISION LOG'!A21&lt;&gt;"",IF('04 - DECISION LOG'!F21="","",'04 - DECISION LOG'!F21),"")</f>
        <v/>
      </c>
      <c r="Z49" t="str">
        <f>IF('04 - DECISION LOG'!A21&lt;&gt;"","Decisions","")</f>
        <v/>
      </c>
      <c r="AA49" t="str">
        <f>IF('04 - DECISION LOG'!A21&lt;&gt;"",IF('04 - DECISION LOG'!A21="","",'04 - DECISION LOG'!A21),"")</f>
        <v/>
      </c>
      <c r="AB49" t="str">
        <f>IF('04 - DECISION LOG'!A21&lt;&gt;"",IF('04 - DECISION LOG'!B21="","",'04 - DECISION LOG'!B21),"")</f>
        <v/>
      </c>
      <c r="AC49" t="str">
        <f>IF('04 - DECISION LOG'!A21&lt;&gt;"",IF('04 - DECISION LOG'!G21="","",'04 - DECISION LOG'!G21),"")</f>
        <v/>
      </c>
      <c r="AD49" t="str">
        <f>IF('04 - DECISION LOG'!A21&lt;&gt;"",IF('04 - DECISION LOG'!H21="","",'04 - DECISION LOG'!H21),"")</f>
        <v/>
      </c>
      <c r="AE49" t="str">
        <f>IF('04 - DECISION LOG'!A21&lt;&gt;"",IF('04 - DECISION LOG'!D21="","",'04 - DECISION LOG'!D21),"")</f>
        <v/>
      </c>
      <c r="AF49" s="17" t="str">
        <f>IF('04 - DECISION LOG'!A21&lt;&gt;"",IF('04 - DECISION LOG'!E21="","",'04 - DECISION LOG'!E21),"")</f>
        <v/>
      </c>
      <c r="AG49" t="str">
        <f>IF('04 - DECISION LOG'!A21&lt;&gt;"",IF('04 - DECISION LOG'!I21="","",'04 - DECISION LOG'!I21),"")</f>
        <v/>
      </c>
      <c r="AH49" t="str">
        <f>IF('04 - DECISION LOG'!A21&lt;&gt;"",IF('04 - DECISION LOG'!J21="","",'04 - DECISION LOG'!J21),"")</f>
        <v/>
      </c>
      <c r="AI49" t="str">
        <f>IF('04 - DECISION LOG'!A21&lt;&gt;"",IF('04 - DECISION LOG'!C21="","",'04 - DECISION LOG'!C21),"")</f>
        <v/>
      </c>
      <c r="AJ49" t="str">
        <f>IF('04 - DECISION LOG'!A21&lt;&gt;"","04 - DECISION LOG row 21","")</f>
        <v/>
      </c>
      <c r="AK49">
        <f>IF(AND('04 - DECISION LOG'!A21&lt;&gt;"",OR('04 - DECISION LOG'!C21="Open",'04 - DECISION LOG'!C21="Deferred",AND('04 - DECISION LOG'!C21="Decided",'04 - DECISION LOG'!AG21=""),'04 - DECISION LOG'!G21&lt;&gt;""),OR(AC49&lt;&gt;"",AD49&lt;&gt;"")),IF(Y49="Critical",1,IF(Y49="Review",2,3))*100000000+IF(ISNUMBER(AF49),AF49,99999)*1000+ROW(),999999999999)</f>
        <v>999999999999</v>
      </c>
      <c r="AL49">
        <f t="shared" si="0"/>
        <v>999999999999</v>
      </c>
      <c r="AM49">
        <f t="shared" si="6"/>
        <v>999999999999</v>
      </c>
      <c r="AN49">
        <f t="shared" si="1"/>
        <v>999999999999</v>
      </c>
      <c r="AO49">
        <f t="shared" si="2"/>
        <v>999999999999</v>
      </c>
      <c r="AP49">
        <f>IF(AND(ISNUMBER(AK49),AND(OR('04 - DECISION LOG'!C21="Open",'04 - DECISION LOG'!C21="Deferred"),OR('04 - DECISION LOG'!O21="Sponsor",'04 - DECISION LOG'!O21="Steering"))),AK49,999999999999)</f>
        <v>999999999999</v>
      </c>
      <c r="AQ49">
        <f t="shared" si="4"/>
        <v>999999999999</v>
      </c>
      <c r="AR49">
        <f t="shared" si="5"/>
        <v>0</v>
      </c>
    </row>
    <row r="50" spans="1:44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t="str">
        <f>IF('04 - DECISION LOG'!A22&lt;&gt;"",IF('04 - DECISION LOG'!F22="","",'04 - DECISION LOG'!F22),"")</f>
        <v/>
      </c>
      <c r="Z50" t="str">
        <f>IF('04 - DECISION LOG'!A22&lt;&gt;"","Decisions","")</f>
        <v/>
      </c>
      <c r="AA50" t="str">
        <f>IF('04 - DECISION LOG'!A22&lt;&gt;"",IF('04 - DECISION LOG'!A22="","",'04 - DECISION LOG'!A22),"")</f>
        <v/>
      </c>
      <c r="AB50" t="str">
        <f>IF('04 - DECISION LOG'!A22&lt;&gt;"",IF('04 - DECISION LOG'!B22="","",'04 - DECISION LOG'!B22),"")</f>
        <v/>
      </c>
      <c r="AC50" t="str">
        <f>IF('04 - DECISION LOG'!A22&lt;&gt;"",IF('04 - DECISION LOG'!G22="","",'04 - DECISION LOG'!G22),"")</f>
        <v/>
      </c>
      <c r="AD50" t="str">
        <f>IF('04 - DECISION LOG'!A22&lt;&gt;"",IF('04 - DECISION LOG'!H22="","",'04 - DECISION LOG'!H22),"")</f>
        <v/>
      </c>
      <c r="AE50" t="str">
        <f>IF('04 - DECISION LOG'!A22&lt;&gt;"",IF('04 - DECISION LOG'!D22="","",'04 - DECISION LOG'!D22),"")</f>
        <v/>
      </c>
      <c r="AF50" s="17" t="str">
        <f>IF('04 - DECISION LOG'!A22&lt;&gt;"",IF('04 - DECISION LOG'!E22="","",'04 - DECISION LOG'!E22),"")</f>
        <v/>
      </c>
      <c r="AG50" t="str">
        <f>IF('04 - DECISION LOG'!A22&lt;&gt;"",IF('04 - DECISION LOG'!I22="","",'04 - DECISION LOG'!I22),"")</f>
        <v/>
      </c>
      <c r="AH50" t="str">
        <f>IF('04 - DECISION LOG'!A22&lt;&gt;"",IF('04 - DECISION LOG'!J22="","",'04 - DECISION LOG'!J22),"")</f>
        <v/>
      </c>
      <c r="AI50" t="str">
        <f>IF('04 - DECISION LOG'!A22&lt;&gt;"",IF('04 - DECISION LOG'!C22="","",'04 - DECISION LOG'!C22),"")</f>
        <v/>
      </c>
      <c r="AJ50" t="str">
        <f>IF('04 - DECISION LOG'!A22&lt;&gt;"","04 - DECISION LOG row 22","")</f>
        <v/>
      </c>
      <c r="AK50">
        <f>IF(AND('04 - DECISION LOG'!A22&lt;&gt;"",OR('04 - DECISION LOG'!C22="Open",'04 - DECISION LOG'!C22="Deferred",AND('04 - DECISION LOG'!C22="Decided",'04 - DECISION LOG'!AG22=""),'04 - DECISION LOG'!G22&lt;&gt;""),OR(AC50&lt;&gt;"",AD50&lt;&gt;"")),IF(Y50="Critical",1,IF(Y50="Review",2,3))*100000000+IF(ISNUMBER(AF50),AF50,99999)*1000+ROW(),999999999999)</f>
        <v>999999999999</v>
      </c>
      <c r="AL50">
        <f t="shared" si="0"/>
        <v>999999999999</v>
      </c>
      <c r="AM50">
        <f t="shared" si="6"/>
        <v>999999999999</v>
      </c>
      <c r="AN50">
        <f t="shared" si="1"/>
        <v>999999999999</v>
      </c>
      <c r="AO50">
        <f t="shared" si="2"/>
        <v>999999999999</v>
      </c>
      <c r="AP50">
        <f>IF(AND(ISNUMBER(AK50),AND(OR('04 - DECISION LOG'!C22="Open",'04 - DECISION LOG'!C22="Deferred"),OR('04 - DECISION LOG'!O22="Sponsor",'04 - DECISION LOG'!O22="Steering"))),AK50,999999999999)</f>
        <v>999999999999</v>
      </c>
      <c r="AQ50">
        <f t="shared" si="4"/>
        <v>999999999999</v>
      </c>
      <c r="AR50">
        <f t="shared" si="5"/>
        <v>0</v>
      </c>
    </row>
    <row r="51" spans="1:44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t="str">
        <f>IF('04 - DECISION LOG'!A23&lt;&gt;"",IF('04 - DECISION LOG'!F23="","",'04 - DECISION LOG'!F23),"")</f>
        <v/>
      </c>
      <c r="Z51" t="str">
        <f>IF('04 - DECISION LOG'!A23&lt;&gt;"","Decisions","")</f>
        <v/>
      </c>
      <c r="AA51" t="str">
        <f>IF('04 - DECISION LOG'!A23&lt;&gt;"",IF('04 - DECISION LOG'!A23="","",'04 - DECISION LOG'!A23),"")</f>
        <v/>
      </c>
      <c r="AB51" t="str">
        <f>IF('04 - DECISION LOG'!A23&lt;&gt;"",IF('04 - DECISION LOG'!B23="","",'04 - DECISION LOG'!B23),"")</f>
        <v/>
      </c>
      <c r="AC51" t="str">
        <f>IF('04 - DECISION LOG'!A23&lt;&gt;"",IF('04 - DECISION LOG'!G23="","",'04 - DECISION LOG'!G23),"")</f>
        <v/>
      </c>
      <c r="AD51" t="str">
        <f>IF('04 - DECISION LOG'!A23&lt;&gt;"",IF('04 - DECISION LOG'!H23="","",'04 - DECISION LOG'!H23),"")</f>
        <v/>
      </c>
      <c r="AE51" t="str">
        <f>IF('04 - DECISION LOG'!A23&lt;&gt;"",IF('04 - DECISION LOG'!D23="","",'04 - DECISION LOG'!D23),"")</f>
        <v/>
      </c>
      <c r="AF51" s="17" t="str">
        <f>IF('04 - DECISION LOG'!A23&lt;&gt;"",IF('04 - DECISION LOG'!E23="","",'04 - DECISION LOG'!E23),"")</f>
        <v/>
      </c>
      <c r="AG51" t="str">
        <f>IF('04 - DECISION LOG'!A23&lt;&gt;"",IF('04 - DECISION LOG'!I23="","",'04 - DECISION LOG'!I23),"")</f>
        <v/>
      </c>
      <c r="AH51" t="str">
        <f>IF('04 - DECISION LOG'!A23&lt;&gt;"",IF('04 - DECISION LOG'!J23="","",'04 - DECISION LOG'!J23),"")</f>
        <v/>
      </c>
      <c r="AI51" t="str">
        <f>IF('04 - DECISION LOG'!A23&lt;&gt;"",IF('04 - DECISION LOG'!C23="","",'04 - DECISION LOG'!C23),"")</f>
        <v/>
      </c>
      <c r="AJ51" t="str">
        <f>IF('04 - DECISION LOG'!A23&lt;&gt;"","04 - DECISION LOG row 23","")</f>
        <v/>
      </c>
      <c r="AK51">
        <f>IF(AND('04 - DECISION LOG'!A23&lt;&gt;"",OR('04 - DECISION LOG'!C23="Open",'04 - DECISION LOG'!C23="Deferred",AND('04 - DECISION LOG'!C23="Decided",'04 - DECISION LOG'!AG23=""),'04 - DECISION LOG'!G23&lt;&gt;""),OR(AC51&lt;&gt;"",AD51&lt;&gt;"")),IF(Y51="Critical",1,IF(Y51="Review",2,3))*100000000+IF(ISNUMBER(AF51),AF51,99999)*1000+ROW(),999999999999)</f>
        <v>999999999999</v>
      </c>
      <c r="AL51">
        <f t="shared" si="0"/>
        <v>999999999999</v>
      </c>
      <c r="AM51">
        <f t="shared" si="6"/>
        <v>999999999999</v>
      </c>
      <c r="AN51">
        <f t="shared" si="1"/>
        <v>999999999999</v>
      </c>
      <c r="AO51">
        <f t="shared" si="2"/>
        <v>999999999999</v>
      </c>
      <c r="AP51">
        <f>IF(AND(ISNUMBER(AK51),AND(OR('04 - DECISION LOG'!C23="Open",'04 - DECISION LOG'!C23="Deferred"),OR('04 - DECISION LOG'!O23="Sponsor",'04 - DECISION LOG'!O23="Steering"))),AK51,999999999999)</f>
        <v>999999999999</v>
      </c>
      <c r="AQ51">
        <f t="shared" si="4"/>
        <v>999999999999</v>
      </c>
      <c r="AR51">
        <f t="shared" si="5"/>
        <v>0</v>
      </c>
    </row>
    <row r="52" spans="1:44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t="str">
        <f>IF('04 - DECISION LOG'!A24&lt;&gt;"",IF('04 - DECISION LOG'!F24="","",'04 - DECISION LOG'!F24),"")</f>
        <v/>
      </c>
      <c r="Z52" t="str">
        <f>IF('04 - DECISION LOG'!A24&lt;&gt;"","Decisions","")</f>
        <v/>
      </c>
      <c r="AA52" t="str">
        <f>IF('04 - DECISION LOG'!A24&lt;&gt;"",IF('04 - DECISION LOG'!A24="","",'04 - DECISION LOG'!A24),"")</f>
        <v/>
      </c>
      <c r="AB52" t="str">
        <f>IF('04 - DECISION LOG'!A24&lt;&gt;"",IF('04 - DECISION LOG'!B24="","",'04 - DECISION LOG'!B24),"")</f>
        <v/>
      </c>
      <c r="AC52" t="str">
        <f>IF('04 - DECISION LOG'!A24&lt;&gt;"",IF('04 - DECISION LOG'!G24="","",'04 - DECISION LOG'!G24),"")</f>
        <v/>
      </c>
      <c r="AD52" t="str">
        <f>IF('04 - DECISION LOG'!A24&lt;&gt;"",IF('04 - DECISION LOG'!H24="","",'04 - DECISION LOG'!H24),"")</f>
        <v/>
      </c>
      <c r="AE52" t="str">
        <f>IF('04 - DECISION LOG'!A24&lt;&gt;"",IF('04 - DECISION LOG'!D24="","",'04 - DECISION LOG'!D24),"")</f>
        <v/>
      </c>
      <c r="AF52" s="17" t="str">
        <f>IF('04 - DECISION LOG'!A24&lt;&gt;"",IF('04 - DECISION LOG'!E24="","",'04 - DECISION LOG'!E24),"")</f>
        <v/>
      </c>
      <c r="AG52" t="str">
        <f>IF('04 - DECISION LOG'!A24&lt;&gt;"",IF('04 - DECISION LOG'!I24="","",'04 - DECISION LOG'!I24),"")</f>
        <v/>
      </c>
      <c r="AH52" t="str">
        <f>IF('04 - DECISION LOG'!A24&lt;&gt;"",IF('04 - DECISION LOG'!J24="","",'04 - DECISION LOG'!J24),"")</f>
        <v/>
      </c>
      <c r="AI52" t="str">
        <f>IF('04 - DECISION LOG'!A24&lt;&gt;"",IF('04 - DECISION LOG'!C24="","",'04 - DECISION LOG'!C24),"")</f>
        <v/>
      </c>
      <c r="AJ52" t="str">
        <f>IF('04 - DECISION LOG'!A24&lt;&gt;"","04 - DECISION LOG row 24","")</f>
        <v/>
      </c>
      <c r="AK52">
        <f>IF(AND('04 - DECISION LOG'!A24&lt;&gt;"",OR('04 - DECISION LOG'!C24="Open",'04 - DECISION LOG'!C24="Deferred",AND('04 - DECISION LOG'!C24="Decided",'04 - DECISION LOG'!AG24=""),'04 - DECISION LOG'!G24&lt;&gt;""),OR(AC52&lt;&gt;"",AD52&lt;&gt;"")),IF(Y52="Critical",1,IF(Y52="Review",2,3))*100000000+IF(ISNUMBER(AF52),AF52,99999)*1000+ROW(),999999999999)</f>
        <v>999999999999</v>
      </c>
      <c r="AL52">
        <f t="shared" si="0"/>
        <v>999999999999</v>
      </c>
      <c r="AM52">
        <f t="shared" si="6"/>
        <v>999999999999</v>
      </c>
      <c r="AN52">
        <f t="shared" si="1"/>
        <v>999999999999</v>
      </c>
      <c r="AO52">
        <f t="shared" si="2"/>
        <v>999999999999</v>
      </c>
      <c r="AP52">
        <f>IF(AND(ISNUMBER(AK52),AND(OR('04 - DECISION LOG'!C24="Open",'04 - DECISION LOG'!C24="Deferred"),OR('04 - DECISION LOG'!O24="Sponsor",'04 - DECISION LOG'!O24="Steering"))),AK52,999999999999)</f>
        <v>999999999999</v>
      </c>
      <c r="AQ52">
        <f t="shared" si="4"/>
        <v>999999999999</v>
      </c>
      <c r="AR52">
        <f t="shared" si="5"/>
        <v>0</v>
      </c>
    </row>
    <row r="53" spans="1:44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t="str">
        <f>IF('04 - DECISION LOG'!A25&lt;&gt;"",IF('04 - DECISION LOG'!F25="","",'04 - DECISION LOG'!F25),"")</f>
        <v/>
      </c>
      <c r="Z53" t="str">
        <f>IF('04 - DECISION LOG'!A25&lt;&gt;"","Decisions","")</f>
        <v/>
      </c>
      <c r="AA53" t="str">
        <f>IF('04 - DECISION LOG'!A25&lt;&gt;"",IF('04 - DECISION LOG'!A25="","",'04 - DECISION LOG'!A25),"")</f>
        <v/>
      </c>
      <c r="AB53" t="str">
        <f>IF('04 - DECISION LOG'!A25&lt;&gt;"",IF('04 - DECISION LOG'!B25="","",'04 - DECISION LOG'!B25),"")</f>
        <v/>
      </c>
      <c r="AC53" t="str">
        <f>IF('04 - DECISION LOG'!A25&lt;&gt;"",IF('04 - DECISION LOG'!G25="","",'04 - DECISION LOG'!G25),"")</f>
        <v/>
      </c>
      <c r="AD53" t="str">
        <f>IF('04 - DECISION LOG'!A25&lt;&gt;"",IF('04 - DECISION LOG'!H25="","",'04 - DECISION LOG'!H25),"")</f>
        <v/>
      </c>
      <c r="AE53" t="str">
        <f>IF('04 - DECISION LOG'!A25&lt;&gt;"",IF('04 - DECISION LOG'!D25="","",'04 - DECISION LOG'!D25),"")</f>
        <v/>
      </c>
      <c r="AF53" s="17" t="str">
        <f>IF('04 - DECISION LOG'!A25&lt;&gt;"",IF('04 - DECISION LOG'!E25="","",'04 - DECISION LOG'!E25),"")</f>
        <v/>
      </c>
      <c r="AG53" t="str">
        <f>IF('04 - DECISION LOG'!A25&lt;&gt;"",IF('04 - DECISION LOG'!I25="","",'04 - DECISION LOG'!I25),"")</f>
        <v/>
      </c>
      <c r="AH53" t="str">
        <f>IF('04 - DECISION LOG'!A25&lt;&gt;"",IF('04 - DECISION LOG'!J25="","",'04 - DECISION LOG'!J25),"")</f>
        <v/>
      </c>
      <c r="AI53" t="str">
        <f>IF('04 - DECISION LOG'!A25&lt;&gt;"",IF('04 - DECISION LOG'!C25="","",'04 - DECISION LOG'!C25),"")</f>
        <v/>
      </c>
      <c r="AJ53" t="str">
        <f>IF('04 - DECISION LOG'!A25&lt;&gt;"","04 - DECISION LOG row 25","")</f>
        <v/>
      </c>
      <c r="AK53">
        <f>IF(AND('04 - DECISION LOG'!A25&lt;&gt;"",OR('04 - DECISION LOG'!C25="Open",'04 - DECISION LOG'!C25="Deferred",AND('04 - DECISION LOG'!C25="Decided",'04 - DECISION LOG'!AG25=""),'04 - DECISION LOG'!G25&lt;&gt;""),OR(AC53&lt;&gt;"",AD53&lt;&gt;"")),IF(Y53="Critical",1,IF(Y53="Review",2,3))*100000000+IF(ISNUMBER(AF53),AF53,99999)*1000+ROW(),999999999999)</f>
        <v>999999999999</v>
      </c>
      <c r="AL53">
        <f t="shared" si="0"/>
        <v>999999999999</v>
      </c>
      <c r="AM53">
        <f t="shared" si="6"/>
        <v>999999999999</v>
      </c>
      <c r="AN53">
        <f t="shared" si="1"/>
        <v>999999999999</v>
      </c>
      <c r="AO53">
        <f t="shared" si="2"/>
        <v>999999999999</v>
      </c>
      <c r="AP53">
        <f>IF(AND(ISNUMBER(AK53),AND(OR('04 - DECISION LOG'!C25="Open",'04 - DECISION LOG'!C25="Deferred"),OR('04 - DECISION LOG'!O25="Sponsor",'04 - DECISION LOG'!O25="Steering"))),AK53,999999999999)</f>
        <v>999999999999</v>
      </c>
      <c r="AQ53">
        <f t="shared" si="4"/>
        <v>999999999999</v>
      </c>
      <c r="AR53">
        <f t="shared" si="5"/>
        <v>0</v>
      </c>
    </row>
    <row r="54" spans="1:44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t="str">
        <f>IF('04 - DECISION LOG'!A26&lt;&gt;"",IF('04 - DECISION LOG'!F26="","",'04 - DECISION LOG'!F26),"")</f>
        <v/>
      </c>
      <c r="Z54" t="str">
        <f>IF('04 - DECISION LOG'!A26&lt;&gt;"","Decisions","")</f>
        <v/>
      </c>
      <c r="AA54" t="str">
        <f>IF('04 - DECISION LOG'!A26&lt;&gt;"",IF('04 - DECISION LOG'!A26="","",'04 - DECISION LOG'!A26),"")</f>
        <v/>
      </c>
      <c r="AB54" t="str">
        <f>IF('04 - DECISION LOG'!A26&lt;&gt;"",IF('04 - DECISION LOG'!B26="","",'04 - DECISION LOG'!B26),"")</f>
        <v/>
      </c>
      <c r="AC54" t="str">
        <f>IF('04 - DECISION LOG'!A26&lt;&gt;"",IF('04 - DECISION LOG'!G26="","",'04 - DECISION LOG'!G26),"")</f>
        <v/>
      </c>
      <c r="AD54" t="str">
        <f>IF('04 - DECISION LOG'!A26&lt;&gt;"",IF('04 - DECISION LOG'!H26="","",'04 - DECISION LOG'!H26),"")</f>
        <v/>
      </c>
      <c r="AE54" t="str">
        <f>IF('04 - DECISION LOG'!A26&lt;&gt;"",IF('04 - DECISION LOG'!D26="","",'04 - DECISION LOG'!D26),"")</f>
        <v/>
      </c>
      <c r="AF54" s="17" t="str">
        <f>IF('04 - DECISION LOG'!A26&lt;&gt;"",IF('04 - DECISION LOG'!E26="","",'04 - DECISION LOG'!E26),"")</f>
        <v/>
      </c>
      <c r="AG54" t="str">
        <f>IF('04 - DECISION LOG'!A26&lt;&gt;"",IF('04 - DECISION LOG'!I26="","",'04 - DECISION LOG'!I26),"")</f>
        <v/>
      </c>
      <c r="AH54" t="str">
        <f>IF('04 - DECISION LOG'!A26&lt;&gt;"",IF('04 - DECISION LOG'!J26="","",'04 - DECISION LOG'!J26),"")</f>
        <v/>
      </c>
      <c r="AI54" t="str">
        <f>IF('04 - DECISION LOG'!A26&lt;&gt;"",IF('04 - DECISION LOG'!C26="","",'04 - DECISION LOG'!C26),"")</f>
        <v/>
      </c>
      <c r="AJ54" t="str">
        <f>IF('04 - DECISION LOG'!A26&lt;&gt;"","04 - DECISION LOG row 26","")</f>
        <v/>
      </c>
      <c r="AK54">
        <f>IF(AND('04 - DECISION LOG'!A26&lt;&gt;"",OR('04 - DECISION LOG'!C26="Open",'04 - DECISION LOG'!C26="Deferred",AND('04 - DECISION LOG'!C26="Decided",'04 - DECISION LOG'!AG26=""),'04 - DECISION LOG'!G26&lt;&gt;""),OR(AC54&lt;&gt;"",AD54&lt;&gt;"")),IF(Y54="Critical",1,IF(Y54="Review",2,3))*100000000+IF(ISNUMBER(AF54),AF54,99999)*1000+ROW(),999999999999)</f>
        <v>999999999999</v>
      </c>
      <c r="AL54">
        <f t="shared" si="0"/>
        <v>999999999999</v>
      </c>
      <c r="AM54">
        <f t="shared" si="6"/>
        <v>999999999999</v>
      </c>
      <c r="AN54">
        <f t="shared" si="1"/>
        <v>999999999999</v>
      </c>
      <c r="AO54">
        <f t="shared" si="2"/>
        <v>999999999999</v>
      </c>
      <c r="AP54">
        <f>IF(AND(ISNUMBER(AK54),AND(OR('04 - DECISION LOG'!C26="Open",'04 - DECISION LOG'!C26="Deferred"),OR('04 - DECISION LOG'!O26="Sponsor",'04 - DECISION LOG'!O26="Steering"))),AK54,999999999999)</f>
        <v>999999999999</v>
      </c>
      <c r="AQ54">
        <f t="shared" si="4"/>
        <v>999999999999</v>
      </c>
      <c r="AR54">
        <f t="shared" si="5"/>
        <v>0</v>
      </c>
    </row>
    <row r="55" spans="1:44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t="str">
        <f>IF('04 - DECISION LOG'!A27&lt;&gt;"",IF('04 - DECISION LOG'!F27="","",'04 - DECISION LOG'!F27),"")</f>
        <v/>
      </c>
      <c r="Z55" t="str">
        <f>IF('04 - DECISION LOG'!A27&lt;&gt;"","Decisions","")</f>
        <v/>
      </c>
      <c r="AA55" t="str">
        <f>IF('04 - DECISION LOG'!A27&lt;&gt;"",IF('04 - DECISION LOG'!A27="","",'04 - DECISION LOG'!A27),"")</f>
        <v/>
      </c>
      <c r="AB55" t="str">
        <f>IF('04 - DECISION LOG'!A27&lt;&gt;"",IF('04 - DECISION LOG'!B27="","",'04 - DECISION LOG'!B27),"")</f>
        <v/>
      </c>
      <c r="AC55" t="str">
        <f>IF('04 - DECISION LOG'!A27&lt;&gt;"",IF('04 - DECISION LOG'!G27="","",'04 - DECISION LOG'!G27),"")</f>
        <v/>
      </c>
      <c r="AD55" t="str">
        <f>IF('04 - DECISION LOG'!A27&lt;&gt;"",IF('04 - DECISION LOG'!H27="","",'04 - DECISION LOG'!H27),"")</f>
        <v/>
      </c>
      <c r="AE55" t="str">
        <f>IF('04 - DECISION LOG'!A27&lt;&gt;"",IF('04 - DECISION LOG'!D27="","",'04 - DECISION LOG'!D27),"")</f>
        <v/>
      </c>
      <c r="AF55" s="17" t="str">
        <f>IF('04 - DECISION LOG'!A27&lt;&gt;"",IF('04 - DECISION LOG'!E27="","",'04 - DECISION LOG'!E27),"")</f>
        <v/>
      </c>
      <c r="AG55" t="str">
        <f>IF('04 - DECISION LOG'!A27&lt;&gt;"",IF('04 - DECISION LOG'!I27="","",'04 - DECISION LOG'!I27),"")</f>
        <v/>
      </c>
      <c r="AH55" t="str">
        <f>IF('04 - DECISION LOG'!A27&lt;&gt;"",IF('04 - DECISION LOG'!J27="","",'04 - DECISION LOG'!J27),"")</f>
        <v/>
      </c>
      <c r="AI55" t="str">
        <f>IF('04 - DECISION LOG'!A27&lt;&gt;"",IF('04 - DECISION LOG'!C27="","",'04 - DECISION LOG'!C27),"")</f>
        <v/>
      </c>
      <c r="AJ55" t="str">
        <f>IF('04 - DECISION LOG'!A27&lt;&gt;"","04 - DECISION LOG row 27","")</f>
        <v/>
      </c>
      <c r="AK55">
        <f>IF(AND('04 - DECISION LOG'!A27&lt;&gt;"",OR('04 - DECISION LOG'!C27="Open",'04 - DECISION LOG'!C27="Deferred",AND('04 - DECISION LOG'!C27="Decided",'04 - DECISION LOG'!AG27=""),'04 - DECISION LOG'!G27&lt;&gt;""),OR(AC55&lt;&gt;"",AD55&lt;&gt;"")),IF(Y55="Critical",1,IF(Y55="Review",2,3))*100000000+IF(ISNUMBER(AF55),AF55,99999)*1000+ROW(),999999999999)</f>
        <v>999999999999</v>
      </c>
      <c r="AL55">
        <f t="shared" si="0"/>
        <v>999999999999</v>
      </c>
      <c r="AM55">
        <f t="shared" si="6"/>
        <v>999999999999</v>
      </c>
      <c r="AN55">
        <f t="shared" si="1"/>
        <v>999999999999</v>
      </c>
      <c r="AO55">
        <f t="shared" si="2"/>
        <v>999999999999</v>
      </c>
      <c r="AP55">
        <f>IF(AND(ISNUMBER(AK55),AND(OR('04 - DECISION LOG'!C27="Open",'04 - DECISION LOG'!C27="Deferred"),OR('04 - DECISION LOG'!O27="Sponsor",'04 - DECISION LOG'!O27="Steering"))),AK55,999999999999)</f>
        <v>999999999999</v>
      </c>
      <c r="AQ55">
        <f t="shared" si="4"/>
        <v>999999999999</v>
      </c>
      <c r="AR55">
        <f t="shared" si="5"/>
        <v>0</v>
      </c>
    </row>
    <row r="56" spans="1:44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t="str">
        <f>IF('04 - DECISION LOG'!A28&lt;&gt;"",IF('04 - DECISION LOG'!F28="","",'04 - DECISION LOG'!F28),"")</f>
        <v/>
      </c>
      <c r="Z56" t="str">
        <f>IF('04 - DECISION LOG'!A28&lt;&gt;"","Decisions","")</f>
        <v/>
      </c>
      <c r="AA56" t="str">
        <f>IF('04 - DECISION LOG'!A28&lt;&gt;"",IF('04 - DECISION LOG'!A28="","",'04 - DECISION LOG'!A28),"")</f>
        <v/>
      </c>
      <c r="AB56" t="str">
        <f>IF('04 - DECISION LOG'!A28&lt;&gt;"",IF('04 - DECISION LOG'!B28="","",'04 - DECISION LOG'!B28),"")</f>
        <v/>
      </c>
      <c r="AC56" t="str">
        <f>IF('04 - DECISION LOG'!A28&lt;&gt;"",IF('04 - DECISION LOG'!G28="","",'04 - DECISION LOG'!G28),"")</f>
        <v/>
      </c>
      <c r="AD56" t="str">
        <f>IF('04 - DECISION LOG'!A28&lt;&gt;"",IF('04 - DECISION LOG'!H28="","",'04 - DECISION LOG'!H28),"")</f>
        <v/>
      </c>
      <c r="AE56" t="str">
        <f>IF('04 - DECISION LOG'!A28&lt;&gt;"",IF('04 - DECISION LOG'!D28="","",'04 - DECISION LOG'!D28),"")</f>
        <v/>
      </c>
      <c r="AF56" s="17" t="str">
        <f>IF('04 - DECISION LOG'!A28&lt;&gt;"",IF('04 - DECISION LOG'!E28="","",'04 - DECISION LOG'!E28),"")</f>
        <v/>
      </c>
      <c r="AG56" t="str">
        <f>IF('04 - DECISION LOG'!A28&lt;&gt;"",IF('04 - DECISION LOG'!I28="","",'04 - DECISION LOG'!I28),"")</f>
        <v/>
      </c>
      <c r="AH56" t="str">
        <f>IF('04 - DECISION LOG'!A28&lt;&gt;"",IF('04 - DECISION LOG'!J28="","",'04 - DECISION LOG'!J28),"")</f>
        <v/>
      </c>
      <c r="AI56" t="str">
        <f>IF('04 - DECISION LOG'!A28&lt;&gt;"",IF('04 - DECISION LOG'!C28="","",'04 - DECISION LOG'!C28),"")</f>
        <v/>
      </c>
      <c r="AJ56" t="str">
        <f>IF('04 - DECISION LOG'!A28&lt;&gt;"","04 - DECISION LOG row 28","")</f>
        <v/>
      </c>
      <c r="AK56">
        <f>IF(AND('04 - DECISION LOG'!A28&lt;&gt;"",OR('04 - DECISION LOG'!C28="Open",'04 - DECISION LOG'!C28="Deferred",AND('04 - DECISION LOG'!C28="Decided",'04 - DECISION LOG'!AG28=""),'04 - DECISION LOG'!G28&lt;&gt;""),OR(AC56&lt;&gt;"",AD56&lt;&gt;"")),IF(Y56="Critical",1,IF(Y56="Review",2,3))*100000000+IF(ISNUMBER(AF56),AF56,99999)*1000+ROW(),999999999999)</f>
        <v>999999999999</v>
      </c>
      <c r="AL56">
        <f t="shared" si="0"/>
        <v>999999999999</v>
      </c>
      <c r="AM56">
        <f t="shared" si="6"/>
        <v>999999999999</v>
      </c>
      <c r="AN56">
        <f t="shared" si="1"/>
        <v>999999999999</v>
      </c>
      <c r="AO56">
        <f t="shared" si="2"/>
        <v>999999999999</v>
      </c>
      <c r="AP56">
        <f>IF(AND(ISNUMBER(AK56),AND(OR('04 - DECISION LOG'!C28="Open",'04 - DECISION LOG'!C28="Deferred"),OR('04 - DECISION LOG'!O28="Sponsor",'04 - DECISION LOG'!O28="Steering"))),AK56,999999999999)</f>
        <v>999999999999</v>
      </c>
      <c r="AQ56">
        <f t="shared" si="4"/>
        <v>999999999999</v>
      </c>
      <c r="AR56">
        <f t="shared" si="5"/>
        <v>0</v>
      </c>
    </row>
    <row r="57" spans="1:44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t="str">
        <f>IF('04 - DECISION LOG'!A29&lt;&gt;"",IF('04 - DECISION LOG'!F29="","",'04 - DECISION LOG'!F29),"")</f>
        <v/>
      </c>
      <c r="Z57" t="str">
        <f>IF('04 - DECISION LOG'!A29&lt;&gt;"","Decisions","")</f>
        <v/>
      </c>
      <c r="AA57" t="str">
        <f>IF('04 - DECISION LOG'!A29&lt;&gt;"",IF('04 - DECISION LOG'!A29="","",'04 - DECISION LOG'!A29),"")</f>
        <v/>
      </c>
      <c r="AB57" t="str">
        <f>IF('04 - DECISION LOG'!A29&lt;&gt;"",IF('04 - DECISION LOG'!B29="","",'04 - DECISION LOG'!B29),"")</f>
        <v/>
      </c>
      <c r="AC57" t="str">
        <f>IF('04 - DECISION LOG'!A29&lt;&gt;"",IF('04 - DECISION LOG'!G29="","",'04 - DECISION LOG'!G29),"")</f>
        <v/>
      </c>
      <c r="AD57" t="str">
        <f>IF('04 - DECISION LOG'!A29&lt;&gt;"",IF('04 - DECISION LOG'!H29="","",'04 - DECISION LOG'!H29),"")</f>
        <v/>
      </c>
      <c r="AE57" t="str">
        <f>IF('04 - DECISION LOG'!A29&lt;&gt;"",IF('04 - DECISION LOG'!D29="","",'04 - DECISION LOG'!D29),"")</f>
        <v/>
      </c>
      <c r="AF57" s="17" t="str">
        <f>IF('04 - DECISION LOG'!A29&lt;&gt;"",IF('04 - DECISION LOG'!E29="","",'04 - DECISION LOG'!E29),"")</f>
        <v/>
      </c>
      <c r="AG57" t="str">
        <f>IF('04 - DECISION LOG'!A29&lt;&gt;"",IF('04 - DECISION LOG'!I29="","",'04 - DECISION LOG'!I29),"")</f>
        <v/>
      </c>
      <c r="AH57" t="str">
        <f>IF('04 - DECISION LOG'!A29&lt;&gt;"",IF('04 - DECISION LOG'!J29="","",'04 - DECISION LOG'!J29),"")</f>
        <v/>
      </c>
      <c r="AI57" t="str">
        <f>IF('04 - DECISION LOG'!A29&lt;&gt;"",IF('04 - DECISION LOG'!C29="","",'04 - DECISION LOG'!C29),"")</f>
        <v/>
      </c>
      <c r="AJ57" t="str">
        <f>IF('04 - DECISION LOG'!A29&lt;&gt;"","04 - DECISION LOG row 29","")</f>
        <v/>
      </c>
      <c r="AK57">
        <f>IF(AND('04 - DECISION LOG'!A29&lt;&gt;"",OR('04 - DECISION LOG'!C29="Open",'04 - DECISION LOG'!C29="Deferred",AND('04 - DECISION LOG'!C29="Decided",'04 - DECISION LOG'!AG29=""),'04 - DECISION LOG'!G29&lt;&gt;""),OR(AC57&lt;&gt;"",AD57&lt;&gt;"")),IF(Y57="Critical",1,IF(Y57="Review",2,3))*100000000+IF(ISNUMBER(AF57),AF57,99999)*1000+ROW(),999999999999)</f>
        <v>999999999999</v>
      </c>
      <c r="AL57">
        <f t="shared" si="0"/>
        <v>999999999999</v>
      </c>
      <c r="AM57">
        <f t="shared" si="6"/>
        <v>999999999999</v>
      </c>
      <c r="AN57">
        <f t="shared" si="1"/>
        <v>999999999999</v>
      </c>
      <c r="AO57">
        <f t="shared" si="2"/>
        <v>999999999999</v>
      </c>
      <c r="AP57">
        <f>IF(AND(ISNUMBER(AK57),AND(OR('04 - DECISION LOG'!C29="Open",'04 - DECISION LOG'!C29="Deferred"),OR('04 - DECISION LOG'!O29="Sponsor",'04 - DECISION LOG'!O29="Steering"))),AK57,999999999999)</f>
        <v>999999999999</v>
      </c>
      <c r="AQ57">
        <f t="shared" si="4"/>
        <v>999999999999</v>
      </c>
      <c r="AR57">
        <f t="shared" si="5"/>
        <v>0</v>
      </c>
    </row>
    <row r="58" spans="1:44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t="str">
        <f>IF('04 - DECISION LOG'!A30&lt;&gt;"",IF('04 - DECISION LOG'!F30="","",'04 - DECISION LOG'!F30),"")</f>
        <v/>
      </c>
      <c r="Z58" t="str">
        <f>IF('04 - DECISION LOG'!A30&lt;&gt;"","Decisions","")</f>
        <v/>
      </c>
      <c r="AA58" t="str">
        <f>IF('04 - DECISION LOG'!A30&lt;&gt;"",IF('04 - DECISION LOG'!A30="","",'04 - DECISION LOG'!A30),"")</f>
        <v/>
      </c>
      <c r="AB58" t="str">
        <f>IF('04 - DECISION LOG'!A30&lt;&gt;"",IF('04 - DECISION LOG'!B30="","",'04 - DECISION LOG'!B30),"")</f>
        <v/>
      </c>
      <c r="AC58" t="str">
        <f>IF('04 - DECISION LOG'!A30&lt;&gt;"",IF('04 - DECISION LOG'!G30="","",'04 - DECISION LOG'!G30),"")</f>
        <v/>
      </c>
      <c r="AD58" t="str">
        <f>IF('04 - DECISION LOG'!A30&lt;&gt;"",IF('04 - DECISION LOG'!H30="","",'04 - DECISION LOG'!H30),"")</f>
        <v/>
      </c>
      <c r="AE58" t="str">
        <f>IF('04 - DECISION LOG'!A30&lt;&gt;"",IF('04 - DECISION LOG'!D30="","",'04 - DECISION LOG'!D30),"")</f>
        <v/>
      </c>
      <c r="AF58" s="17" t="str">
        <f>IF('04 - DECISION LOG'!A30&lt;&gt;"",IF('04 - DECISION LOG'!E30="","",'04 - DECISION LOG'!E30),"")</f>
        <v/>
      </c>
      <c r="AG58" t="str">
        <f>IF('04 - DECISION LOG'!A30&lt;&gt;"",IF('04 - DECISION LOG'!I30="","",'04 - DECISION LOG'!I30),"")</f>
        <v/>
      </c>
      <c r="AH58" t="str">
        <f>IF('04 - DECISION LOG'!A30&lt;&gt;"",IF('04 - DECISION LOG'!J30="","",'04 - DECISION LOG'!J30),"")</f>
        <v/>
      </c>
      <c r="AI58" t="str">
        <f>IF('04 - DECISION LOG'!A30&lt;&gt;"",IF('04 - DECISION LOG'!C30="","",'04 - DECISION LOG'!C30),"")</f>
        <v/>
      </c>
      <c r="AJ58" t="str">
        <f>IF('04 - DECISION LOG'!A30&lt;&gt;"","04 - DECISION LOG row 30","")</f>
        <v/>
      </c>
      <c r="AK58">
        <f>IF(AND('04 - DECISION LOG'!A30&lt;&gt;"",OR('04 - DECISION LOG'!C30="Open",'04 - DECISION LOG'!C30="Deferred",AND('04 - DECISION LOG'!C30="Decided",'04 - DECISION LOG'!AG30=""),'04 - DECISION LOG'!G30&lt;&gt;""),OR(AC58&lt;&gt;"",AD58&lt;&gt;"")),IF(Y58="Critical",1,IF(Y58="Review",2,3))*100000000+IF(ISNUMBER(AF58),AF58,99999)*1000+ROW(),999999999999)</f>
        <v>999999999999</v>
      </c>
      <c r="AL58">
        <f t="shared" si="0"/>
        <v>999999999999</v>
      </c>
      <c r="AM58">
        <f t="shared" si="6"/>
        <v>999999999999</v>
      </c>
      <c r="AN58">
        <f t="shared" si="1"/>
        <v>999999999999</v>
      </c>
      <c r="AO58">
        <f t="shared" si="2"/>
        <v>999999999999</v>
      </c>
      <c r="AP58">
        <f>IF(AND(ISNUMBER(AK58),AND(OR('04 - DECISION LOG'!C30="Open",'04 - DECISION LOG'!C30="Deferred"),OR('04 - DECISION LOG'!O30="Sponsor",'04 - DECISION LOG'!O30="Steering"))),AK58,999999999999)</f>
        <v>999999999999</v>
      </c>
      <c r="AQ58">
        <f t="shared" si="4"/>
        <v>999999999999</v>
      </c>
      <c r="AR58">
        <f t="shared" si="5"/>
        <v>0</v>
      </c>
    </row>
    <row r="59" spans="1:44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t="str">
        <f>IF('04 - DECISION LOG'!A31&lt;&gt;"",IF('04 - DECISION LOG'!F31="","",'04 - DECISION LOG'!F31),"")</f>
        <v/>
      </c>
      <c r="Z59" t="str">
        <f>IF('04 - DECISION LOG'!A31&lt;&gt;"","Decisions","")</f>
        <v/>
      </c>
      <c r="AA59" t="str">
        <f>IF('04 - DECISION LOG'!A31&lt;&gt;"",IF('04 - DECISION LOG'!A31="","",'04 - DECISION LOG'!A31),"")</f>
        <v/>
      </c>
      <c r="AB59" t="str">
        <f>IF('04 - DECISION LOG'!A31&lt;&gt;"",IF('04 - DECISION LOG'!B31="","",'04 - DECISION LOG'!B31),"")</f>
        <v/>
      </c>
      <c r="AC59" t="str">
        <f>IF('04 - DECISION LOG'!A31&lt;&gt;"",IF('04 - DECISION LOG'!G31="","",'04 - DECISION LOG'!G31),"")</f>
        <v/>
      </c>
      <c r="AD59" t="str">
        <f>IF('04 - DECISION LOG'!A31&lt;&gt;"",IF('04 - DECISION LOG'!H31="","",'04 - DECISION LOG'!H31),"")</f>
        <v/>
      </c>
      <c r="AE59" t="str">
        <f>IF('04 - DECISION LOG'!A31&lt;&gt;"",IF('04 - DECISION LOG'!D31="","",'04 - DECISION LOG'!D31),"")</f>
        <v/>
      </c>
      <c r="AF59" s="17" t="str">
        <f>IF('04 - DECISION LOG'!A31&lt;&gt;"",IF('04 - DECISION LOG'!E31="","",'04 - DECISION LOG'!E31),"")</f>
        <v/>
      </c>
      <c r="AG59" t="str">
        <f>IF('04 - DECISION LOG'!A31&lt;&gt;"",IF('04 - DECISION LOG'!I31="","",'04 - DECISION LOG'!I31),"")</f>
        <v/>
      </c>
      <c r="AH59" t="str">
        <f>IF('04 - DECISION LOG'!A31&lt;&gt;"",IF('04 - DECISION LOG'!J31="","",'04 - DECISION LOG'!J31),"")</f>
        <v/>
      </c>
      <c r="AI59" t="str">
        <f>IF('04 - DECISION LOG'!A31&lt;&gt;"",IF('04 - DECISION LOG'!C31="","",'04 - DECISION LOG'!C31),"")</f>
        <v/>
      </c>
      <c r="AJ59" t="str">
        <f>IF('04 - DECISION LOG'!A31&lt;&gt;"","04 - DECISION LOG row 31","")</f>
        <v/>
      </c>
      <c r="AK59">
        <f>IF(AND('04 - DECISION LOG'!A31&lt;&gt;"",OR('04 - DECISION LOG'!C31="Open",'04 - DECISION LOG'!C31="Deferred",AND('04 - DECISION LOG'!C31="Decided",'04 - DECISION LOG'!AG31=""),'04 - DECISION LOG'!G31&lt;&gt;""),OR(AC59&lt;&gt;"",AD59&lt;&gt;"")),IF(Y59="Critical",1,IF(Y59="Review",2,3))*100000000+IF(ISNUMBER(AF59),AF59,99999)*1000+ROW(),999999999999)</f>
        <v>999999999999</v>
      </c>
      <c r="AL59">
        <f t="shared" si="0"/>
        <v>999999999999</v>
      </c>
      <c r="AM59">
        <f t="shared" si="6"/>
        <v>999999999999</v>
      </c>
      <c r="AN59">
        <f t="shared" si="1"/>
        <v>999999999999</v>
      </c>
      <c r="AO59">
        <f t="shared" si="2"/>
        <v>999999999999</v>
      </c>
      <c r="AP59">
        <f>IF(AND(ISNUMBER(AK59),AND(OR('04 - DECISION LOG'!C31="Open",'04 - DECISION LOG'!C31="Deferred"),OR('04 - DECISION LOG'!O31="Sponsor",'04 - DECISION LOG'!O31="Steering"))),AK59,999999999999)</f>
        <v>999999999999</v>
      </c>
      <c r="AQ59">
        <f t="shared" si="4"/>
        <v>999999999999</v>
      </c>
      <c r="AR59">
        <f t="shared" si="5"/>
        <v>0</v>
      </c>
    </row>
    <row r="60" spans="1:44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t="str">
        <f>IF('04 - DECISION LOG'!A32&lt;&gt;"",IF('04 - DECISION LOG'!F32="","",'04 - DECISION LOG'!F32),"")</f>
        <v/>
      </c>
      <c r="Z60" t="str">
        <f>IF('04 - DECISION LOG'!A32&lt;&gt;"","Decisions","")</f>
        <v/>
      </c>
      <c r="AA60" t="str">
        <f>IF('04 - DECISION LOG'!A32&lt;&gt;"",IF('04 - DECISION LOG'!A32="","",'04 - DECISION LOG'!A32),"")</f>
        <v/>
      </c>
      <c r="AB60" t="str">
        <f>IF('04 - DECISION LOG'!A32&lt;&gt;"",IF('04 - DECISION LOG'!B32="","",'04 - DECISION LOG'!B32),"")</f>
        <v/>
      </c>
      <c r="AC60" t="str">
        <f>IF('04 - DECISION LOG'!A32&lt;&gt;"",IF('04 - DECISION LOG'!G32="","",'04 - DECISION LOG'!G32),"")</f>
        <v/>
      </c>
      <c r="AD60" t="str">
        <f>IF('04 - DECISION LOG'!A32&lt;&gt;"",IF('04 - DECISION LOG'!H32="","",'04 - DECISION LOG'!H32),"")</f>
        <v/>
      </c>
      <c r="AE60" t="str">
        <f>IF('04 - DECISION LOG'!A32&lt;&gt;"",IF('04 - DECISION LOG'!D32="","",'04 - DECISION LOG'!D32),"")</f>
        <v/>
      </c>
      <c r="AF60" s="17" t="str">
        <f>IF('04 - DECISION LOG'!A32&lt;&gt;"",IF('04 - DECISION LOG'!E32="","",'04 - DECISION LOG'!E32),"")</f>
        <v/>
      </c>
      <c r="AG60" t="str">
        <f>IF('04 - DECISION LOG'!A32&lt;&gt;"",IF('04 - DECISION LOG'!I32="","",'04 - DECISION LOG'!I32),"")</f>
        <v/>
      </c>
      <c r="AH60" t="str">
        <f>IF('04 - DECISION LOG'!A32&lt;&gt;"",IF('04 - DECISION LOG'!J32="","",'04 - DECISION LOG'!J32),"")</f>
        <v/>
      </c>
      <c r="AI60" t="str">
        <f>IF('04 - DECISION LOG'!A32&lt;&gt;"",IF('04 - DECISION LOG'!C32="","",'04 - DECISION LOG'!C32),"")</f>
        <v/>
      </c>
      <c r="AJ60" t="str">
        <f>IF('04 - DECISION LOG'!A32&lt;&gt;"","04 - DECISION LOG row 32","")</f>
        <v/>
      </c>
      <c r="AK60">
        <f>IF(AND('04 - DECISION LOG'!A32&lt;&gt;"",OR('04 - DECISION LOG'!C32="Open",'04 - DECISION LOG'!C32="Deferred",AND('04 - DECISION LOG'!C32="Decided",'04 - DECISION LOG'!AG32=""),'04 - DECISION LOG'!G32&lt;&gt;""),OR(AC60&lt;&gt;"",AD60&lt;&gt;"")),IF(Y60="Critical",1,IF(Y60="Review",2,3))*100000000+IF(ISNUMBER(AF60),AF60,99999)*1000+ROW(),999999999999)</f>
        <v>999999999999</v>
      </c>
      <c r="AL60">
        <f t="shared" si="0"/>
        <v>999999999999</v>
      </c>
      <c r="AM60">
        <f t="shared" si="6"/>
        <v>999999999999</v>
      </c>
      <c r="AN60">
        <f t="shared" si="1"/>
        <v>999999999999</v>
      </c>
      <c r="AO60">
        <f t="shared" si="2"/>
        <v>999999999999</v>
      </c>
      <c r="AP60">
        <f>IF(AND(ISNUMBER(AK60),AND(OR('04 - DECISION LOG'!C32="Open",'04 - DECISION LOG'!C32="Deferred"),OR('04 - DECISION LOG'!O32="Sponsor",'04 - DECISION LOG'!O32="Steering"))),AK60,999999999999)</f>
        <v>999999999999</v>
      </c>
      <c r="AQ60">
        <f t="shared" si="4"/>
        <v>999999999999</v>
      </c>
      <c r="AR60">
        <f t="shared" si="5"/>
        <v>0</v>
      </c>
    </row>
    <row r="61" spans="1:44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t="str">
        <f>IF('04 - DECISION LOG'!A33&lt;&gt;"",IF('04 - DECISION LOG'!F33="","",'04 - DECISION LOG'!F33),"")</f>
        <v/>
      </c>
      <c r="Z61" t="str">
        <f>IF('04 - DECISION LOG'!A33&lt;&gt;"","Decisions","")</f>
        <v/>
      </c>
      <c r="AA61" t="str">
        <f>IF('04 - DECISION LOG'!A33&lt;&gt;"",IF('04 - DECISION LOG'!A33="","",'04 - DECISION LOG'!A33),"")</f>
        <v/>
      </c>
      <c r="AB61" t="str">
        <f>IF('04 - DECISION LOG'!A33&lt;&gt;"",IF('04 - DECISION LOG'!B33="","",'04 - DECISION LOG'!B33),"")</f>
        <v/>
      </c>
      <c r="AC61" t="str">
        <f>IF('04 - DECISION LOG'!A33&lt;&gt;"",IF('04 - DECISION LOG'!G33="","",'04 - DECISION LOG'!G33),"")</f>
        <v/>
      </c>
      <c r="AD61" t="str">
        <f>IF('04 - DECISION LOG'!A33&lt;&gt;"",IF('04 - DECISION LOG'!H33="","",'04 - DECISION LOG'!H33),"")</f>
        <v/>
      </c>
      <c r="AE61" t="str">
        <f>IF('04 - DECISION LOG'!A33&lt;&gt;"",IF('04 - DECISION LOG'!D33="","",'04 - DECISION LOG'!D33),"")</f>
        <v/>
      </c>
      <c r="AF61" s="17" t="str">
        <f>IF('04 - DECISION LOG'!A33&lt;&gt;"",IF('04 - DECISION LOG'!E33="","",'04 - DECISION LOG'!E33),"")</f>
        <v/>
      </c>
      <c r="AG61" t="str">
        <f>IF('04 - DECISION LOG'!A33&lt;&gt;"",IF('04 - DECISION LOG'!I33="","",'04 - DECISION LOG'!I33),"")</f>
        <v/>
      </c>
      <c r="AH61" t="str">
        <f>IF('04 - DECISION LOG'!A33&lt;&gt;"",IF('04 - DECISION LOG'!J33="","",'04 - DECISION LOG'!J33),"")</f>
        <v/>
      </c>
      <c r="AI61" t="str">
        <f>IF('04 - DECISION LOG'!A33&lt;&gt;"",IF('04 - DECISION LOG'!C33="","",'04 - DECISION LOG'!C33),"")</f>
        <v/>
      </c>
      <c r="AJ61" t="str">
        <f>IF('04 - DECISION LOG'!A33&lt;&gt;"","04 - DECISION LOG row 33","")</f>
        <v/>
      </c>
      <c r="AK61">
        <f>IF(AND('04 - DECISION LOG'!A33&lt;&gt;"",OR('04 - DECISION LOG'!C33="Open",'04 - DECISION LOG'!C33="Deferred",AND('04 - DECISION LOG'!C33="Decided",'04 - DECISION LOG'!AG33=""),'04 - DECISION LOG'!G33&lt;&gt;""),OR(AC61&lt;&gt;"",AD61&lt;&gt;"")),IF(Y61="Critical",1,IF(Y61="Review",2,3))*100000000+IF(ISNUMBER(AF61),AF61,99999)*1000+ROW(),999999999999)</f>
        <v>999999999999</v>
      </c>
      <c r="AL61">
        <f t="shared" si="0"/>
        <v>999999999999</v>
      </c>
      <c r="AM61">
        <f t="shared" si="6"/>
        <v>999999999999</v>
      </c>
      <c r="AN61">
        <f t="shared" si="1"/>
        <v>999999999999</v>
      </c>
      <c r="AO61">
        <f t="shared" si="2"/>
        <v>999999999999</v>
      </c>
      <c r="AP61">
        <f>IF(AND(ISNUMBER(AK61),AND(OR('04 - DECISION LOG'!C33="Open",'04 - DECISION LOG'!C33="Deferred"),OR('04 - DECISION LOG'!O33="Sponsor",'04 - DECISION LOG'!O33="Steering"))),AK61,999999999999)</f>
        <v>999999999999</v>
      </c>
      <c r="AQ61">
        <f t="shared" si="4"/>
        <v>999999999999</v>
      </c>
      <c r="AR61">
        <f t="shared" si="5"/>
        <v>0</v>
      </c>
    </row>
    <row r="62" spans="1:44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t="str">
        <f>IF('04 - DECISION LOG'!A34&lt;&gt;"",IF('04 - DECISION LOG'!F34="","",'04 - DECISION LOG'!F34),"")</f>
        <v/>
      </c>
      <c r="Z62" t="str">
        <f>IF('04 - DECISION LOG'!A34&lt;&gt;"","Decisions","")</f>
        <v/>
      </c>
      <c r="AA62" t="str">
        <f>IF('04 - DECISION LOG'!A34&lt;&gt;"",IF('04 - DECISION LOG'!A34="","",'04 - DECISION LOG'!A34),"")</f>
        <v/>
      </c>
      <c r="AB62" t="str">
        <f>IF('04 - DECISION LOG'!A34&lt;&gt;"",IF('04 - DECISION LOG'!B34="","",'04 - DECISION LOG'!B34),"")</f>
        <v/>
      </c>
      <c r="AC62" t="str">
        <f>IF('04 - DECISION LOG'!A34&lt;&gt;"",IF('04 - DECISION LOG'!G34="","",'04 - DECISION LOG'!G34),"")</f>
        <v/>
      </c>
      <c r="AD62" t="str">
        <f>IF('04 - DECISION LOG'!A34&lt;&gt;"",IF('04 - DECISION LOG'!H34="","",'04 - DECISION LOG'!H34),"")</f>
        <v/>
      </c>
      <c r="AE62" t="str">
        <f>IF('04 - DECISION LOG'!A34&lt;&gt;"",IF('04 - DECISION LOG'!D34="","",'04 - DECISION LOG'!D34),"")</f>
        <v/>
      </c>
      <c r="AF62" s="17" t="str">
        <f>IF('04 - DECISION LOG'!A34&lt;&gt;"",IF('04 - DECISION LOG'!E34="","",'04 - DECISION LOG'!E34),"")</f>
        <v/>
      </c>
      <c r="AG62" t="str">
        <f>IF('04 - DECISION LOG'!A34&lt;&gt;"",IF('04 - DECISION LOG'!I34="","",'04 - DECISION LOG'!I34),"")</f>
        <v/>
      </c>
      <c r="AH62" t="str">
        <f>IF('04 - DECISION LOG'!A34&lt;&gt;"",IF('04 - DECISION LOG'!J34="","",'04 - DECISION LOG'!J34),"")</f>
        <v/>
      </c>
      <c r="AI62" t="str">
        <f>IF('04 - DECISION LOG'!A34&lt;&gt;"",IF('04 - DECISION LOG'!C34="","",'04 - DECISION LOG'!C34),"")</f>
        <v/>
      </c>
      <c r="AJ62" t="str">
        <f>IF('04 - DECISION LOG'!A34&lt;&gt;"","04 - DECISION LOG row 34","")</f>
        <v/>
      </c>
      <c r="AK62">
        <f>IF(AND('04 - DECISION LOG'!A34&lt;&gt;"",OR('04 - DECISION LOG'!C34="Open",'04 - DECISION LOG'!C34="Deferred",AND('04 - DECISION LOG'!C34="Decided",'04 - DECISION LOG'!AG34=""),'04 - DECISION LOG'!G34&lt;&gt;""),OR(AC62&lt;&gt;"",AD62&lt;&gt;"")),IF(Y62="Critical",1,IF(Y62="Review",2,3))*100000000+IF(ISNUMBER(AF62),AF62,99999)*1000+ROW(),999999999999)</f>
        <v>999999999999</v>
      </c>
      <c r="AL62">
        <f t="shared" si="0"/>
        <v>999999999999</v>
      </c>
      <c r="AM62">
        <f t="shared" si="6"/>
        <v>999999999999</v>
      </c>
      <c r="AN62">
        <f t="shared" si="1"/>
        <v>999999999999</v>
      </c>
      <c r="AO62">
        <f t="shared" si="2"/>
        <v>999999999999</v>
      </c>
      <c r="AP62">
        <f>IF(AND(ISNUMBER(AK62),AND(OR('04 - DECISION LOG'!C34="Open",'04 - DECISION LOG'!C34="Deferred"),OR('04 - DECISION LOG'!O34="Sponsor",'04 - DECISION LOG'!O34="Steering"))),AK62,999999999999)</f>
        <v>999999999999</v>
      </c>
      <c r="AQ62">
        <f t="shared" ref="AQ62:AQ86" si="7">IF(AND(ISNUMBER(AK62),Z62="Dependencies",FALSE),AK62,999999999999)</f>
        <v>999999999999</v>
      </c>
      <c r="AR62">
        <f t="shared" si="5"/>
        <v>0</v>
      </c>
    </row>
    <row r="63" spans="1:44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t="str">
        <f>IF('04 - DECISION LOG'!A35&lt;&gt;"",IF('04 - DECISION LOG'!F35="","",'04 - DECISION LOG'!F35),"")</f>
        <v/>
      </c>
      <c r="Z63" t="str">
        <f>IF('04 - DECISION LOG'!A35&lt;&gt;"","Decisions","")</f>
        <v/>
      </c>
      <c r="AA63" t="str">
        <f>IF('04 - DECISION LOG'!A35&lt;&gt;"",IF('04 - DECISION LOG'!A35="","",'04 - DECISION LOG'!A35),"")</f>
        <v/>
      </c>
      <c r="AB63" t="str">
        <f>IF('04 - DECISION LOG'!A35&lt;&gt;"",IF('04 - DECISION LOG'!B35="","",'04 - DECISION LOG'!B35),"")</f>
        <v/>
      </c>
      <c r="AC63" t="str">
        <f>IF('04 - DECISION LOG'!A35&lt;&gt;"",IF('04 - DECISION LOG'!G35="","",'04 - DECISION LOG'!G35),"")</f>
        <v/>
      </c>
      <c r="AD63" t="str">
        <f>IF('04 - DECISION LOG'!A35&lt;&gt;"",IF('04 - DECISION LOG'!H35="","",'04 - DECISION LOG'!H35),"")</f>
        <v/>
      </c>
      <c r="AE63" t="str">
        <f>IF('04 - DECISION LOG'!A35&lt;&gt;"",IF('04 - DECISION LOG'!D35="","",'04 - DECISION LOG'!D35),"")</f>
        <v/>
      </c>
      <c r="AF63" s="17" t="str">
        <f>IF('04 - DECISION LOG'!A35&lt;&gt;"",IF('04 - DECISION LOG'!E35="","",'04 - DECISION LOG'!E35),"")</f>
        <v/>
      </c>
      <c r="AG63" t="str">
        <f>IF('04 - DECISION LOG'!A35&lt;&gt;"",IF('04 - DECISION LOG'!I35="","",'04 - DECISION LOG'!I35),"")</f>
        <v/>
      </c>
      <c r="AH63" t="str">
        <f>IF('04 - DECISION LOG'!A35&lt;&gt;"",IF('04 - DECISION LOG'!J35="","",'04 - DECISION LOG'!J35),"")</f>
        <v/>
      </c>
      <c r="AI63" t="str">
        <f>IF('04 - DECISION LOG'!A35&lt;&gt;"",IF('04 - DECISION LOG'!C35="","",'04 - DECISION LOG'!C35),"")</f>
        <v/>
      </c>
      <c r="AJ63" t="str">
        <f>IF('04 - DECISION LOG'!A35&lt;&gt;"","04 - DECISION LOG row 35","")</f>
        <v/>
      </c>
      <c r="AK63">
        <f>IF(AND('04 - DECISION LOG'!A35&lt;&gt;"",OR('04 - DECISION LOG'!C35="Open",'04 - DECISION LOG'!C35="Deferred",AND('04 - DECISION LOG'!C35="Decided",'04 - DECISION LOG'!AG35=""),'04 - DECISION LOG'!G35&lt;&gt;""),OR(AC63&lt;&gt;"",AD63&lt;&gt;"")),IF(Y63="Critical",1,IF(Y63="Review",2,3))*100000000+IF(ISNUMBER(AF63),AF63,99999)*1000+ROW(),999999999999)</f>
        <v>999999999999</v>
      </c>
      <c r="AL63">
        <f t="shared" si="0"/>
        <v>999999999999</v>
      </c>
      <c r="AM63">
        <f t="shared" si="6"/>
        <v>999999999999</v>
      </c>
      <c r="AN63">
        <f t="shared" si="1"/>
        <v>999999999999</v>
      </c>
      <c r="AO63">
        <f t="shared" si="2"/>
        <v>999999999999</v>
      </c>
      <c r="AP63">
        <f>IF(AND(ISNUMBER(AK63),AND(OR('04 - DECISION LOG'!C35="Open",'04 - DECISION LOG'!C35="Deferred"),OR('04 - DECISION LOG'!O35="Sponsor",'04 - DECISION LOG'!O35="Steering"))),AK63,999999999999)</f>
        <v>999999999999</v>
      </c>
      <c r="AQ63">
        <f t="shared" si="7"/>
        <v>999999999999</v>
      </c>
      <c r="AR63">
        <f t="shared" si="5"/>
        <v>0</v>
      </c>
    </row>
    <row r="64" spans="1:44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t="str">
        <f>IF('04 - DECISION LOG'!A36&lt;&gt;"",IF('04 - DECISION LOG'!F36="","",'04 - DECISION LOG'!F36),"")</f>
        <v/>
      </c>
      <c r="Z64" t="str">
        <f>IF('04 - DECISION LOG'!A36&lt;&gt;"","Decisions","")</f>
        <v/>
      </c>
      <c r="AA64" t="str">
        <f>IF('04 - DECISION LOG'!A36&lt;&gt;"",IF('04 - DECISION LOG'!A36="","",'04 - DECISION LOG'!A36),"")</f>
        <v/>
      </c>
      <c r="AB64" t="str">
        <f>IF('04 - DECISION LOG'!A36&lt;&gt;"",IF('04 - DECISION LOG'!B36="","",'04 - DECISION LOG'!B36),"")</f>
        <v/>
      </c>
      <c r="AC64" t="str">
        <f>IF('04 - DECISION LOG'!A36&lt;&gt;"",IF('04 - DECISION LOG'!G36="","",'04 - DECISION LOG'!G36),"")</f>
        <v/>
      </c>
      <c r="AD64" t="str">
        <f>IF('04 - DECISION LOG'!A36&lt;&gt;"",IF('04 - DECISION LOG'!H36="","",'04 - DECISION LOG'!H36),"")</f>
        <v/>
      </c>
      <c r="AE64" t="str">
        <f>IF('04 - DECISION LOG'!A36&lt;&gt;"",IF('04 - DECISION LOG'!D36="","",'04 - DECISION LOG'!D36),"")</f>
        <v/>
      </c>
      <c r="AF64" s="17" t="str">
        <f>IF('04 - DECISION LOG'!A36&lt;&gt;"",IF('04 - DECISION LOG'!E36="","",'04 - DECISION LOG'!E36),"")</f>
        <v/>
      </c>
      <c r="AG64" t="str">
        <f>IF('04 - DECISION LOG'!A36&lt;&gt;"",IF('04 - DECISION LOG'!I36="","",'04 - DECISION LOG'!I36),"")</f>
        <v/>
      </c>
      <c r="AH64" t="str">
        <f>IF('04 - DECISION LOG'!A36&lt;&gt;"",IF('04 - DECISION LOG'!J36="","",'04 - DECISION LOG'!J36),"")</f>
        <v/>
      </c>
      <c r="AI64" t="str">
        <f>IF('04 - DECISION LOG'!A36&lt;&gt;"",IF('04 - DECISION LOG'!C36="","",'04 - DECISION LOG'!C36),"")</f>
        <v/>
      </c>
      <c r="AJ64" t="str">
        <f>IF('04 - DECISION LOG'!A36&lt;&gt;"","04 - DECISION LOG row 36","")</f>
        <v/>
      </c>
      <c r="AK64">
        <f>IF(AND('04 - DECISION LOG'!A36&lt;&gt;"",OR('04 - DECISION LOG'!C36="Open",'04 - DECISION LOG'!C36="Deferred",AND('04 - DECISION LOG'!C36="Decided",'04 - DECISION LOG'!AG36=""),'04 - DECISION LOG'!G36&lt;&gt;""),OR(AC64&lt;&gt;"",AD64&lt;&gt;"")),IF(Y64="Critical",1,IF(Y64="Review",2,3))*100000000+IF(ISNUMBER(AF64),AF64,99999)*1000+ROW(),999999999999)</f>
        <v>999999999999</v>
      </c>
      <c r="AL64">
        <f t="shared" si="0"/>
        <v>999999999999</v>
      </c>
      <c r="AM64">
        <f t="shared" si="6"/>
        <v>999999999999</v>
      </c>
      <c r="AN64">
        <f t="shared" si="1"/>
        <v>999999999999</v>
      </c>
      <c r="AO64">
        <f t="shared" si="2"/>
        <v>999999999999</v>
      </c>
      <c r="AP64">
        <f>IF(AND(ISNUMBER(AK64),AND(OR('04 - DECISION LOG'!C36="Open",'04 - DECISION LOG'!C36="Deferred"),OR('04 - DECISION LOG'!O36="Sponsor",'04 - DECISION LOG'!O36="Steering"))),AK64,999999999999)</f>
        <v>999999999999</v>
      </c>
      <c r="AQ64">
        <f t="shared" si="7"/>
        <v>999999999999</v>
      </c>
      <c r="AR64">
        <f t="shared" si="5"/>
        <v>0</v>
      </c>
    </row>
    <row r="65" spans="1:44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t="str">
        <f>IF('04 - DECISION LOG'!A37&lt;&gt;"",IF('04 - DECISION LOG'!F37="","",'04 - DECISION LOG'!F37),"")</f>
        <v/>
      </c>
      <c r="Z65" t="str">
        <f>IF('04 - DECISION LOG'!A37&lt;&gt;"","Decisions","")</f>
        <v/>
      </c>
      <c r="AA65" t="str">
        <f>IF('04 - DECISION LOG'!A37&lt;&gt;"",IF('04 - DECISION LOG'!A37="","",'04 - DECISION LOG'!A37),"")</f>
        <v/>
      </c>
      <c r="AB65" t="str">
        <f>IF('04 - DECISION LOG'!A37&lt;&gt;"",IF('04 - DECISION LOG'!B37="","",'04 - DECISION LOG'!B37),"")</f>
        <v/>
      </c>
      <c r="AC65" t="str">
        <f>IF('04 - DECISION LOG'!A37&lt;&gt;"",IF('04 - DECISION LOG'!G37="","",'04 - DECISION LOG'!G37),"")</f>
        <v/>
      </c>
      <c r="AD65" t="str">
        <f>IF('04 - DECISION LOG'!A37&lt;&gt;"",IF('04 - DECISION LOG'!H37="","",'04 - DECISION LOG'!H37),"")</f>
        <v/>
      </c>
      <c r="AE65" t="str">
        <f>IF('04 - DECISION LOG'!A37&lt;&gt;"",IF('04 - DECISION LOG'!D37="","",'04 - DECISION LOG'!D37),"")</f>
        <v/>
      </c>
      <c r="AF65" s="17" t="str">
        <f>IF('04 - DECISION LOG'!A37&lt;&gt;"",IF('04 - DECISION LOG'!E37="","",'04 - DECISION LOG'!E37),"")</f>
        <v/>
      </c>
      <c r="AG65" t="str">
        <f>IF('04 - DECISION LOG'!A37&lt;&gt;"",IF('04 - DECISION LOG'!I37="","",'04 - DECISION LOG'!I37),"")</f>
        <v/>
      </c>
      <c r="AH65" t="str">
        <f>IF('04 - DECISION LOG'!A37&lt;&gt;"",IF('04 - DECISION LOG'!J37="","",'04 - DECISION LOG'!J37),"")</f>
        <v/>
      </c>
      <c r="AI65" t="str">
        <f>IF('04 - DECISION LOG'!A37&lt;&gt;"",IF('04 - DECISION LOG'!C37="","",'04 - DECISION LOG'!C37),"")</f>
        <v/>
      </c>
      <c r="AJ65" t="str">
        <f>IF('04 - DECISION LOG'!A37&lt;&gt;"","04 - DECISION LOG row 37","")</f>
        <v/>
      </c>
      <c r="AK65">
        <f>IF(AND('04 - DECISION LOG'!A37&lt;&gt;"",OR('04 - DECISION LOG'!C37="Open",'04 - DECISION LOG'!C37="Deferred",AND('04 - DECISION LOG'!C37="Decided",'04 - DECISION LOG'!AG37=""),'04 - DECISION LOG'!G37&lt;&gt;""),OR(AC65&lt;&gt;"",AD65&lt;&gt;"")),IF(Y65="Critical",1,IF(Y65="Review",2,3))*100000000+IF(ISNUMBER(AF65),AF65,99999)*1000+ROW(),999999999999)</f>
        <v>999999999999</v>
      </c>
      <c r="AL65">
        <f t="shared" si="0"/>
        <v>999999999999</v>
      </c>
      <c r="AM65">
        <f t="shared" si="6"/>
        <v>999999999999</v>
      </c>
      <c r="AN65">
        <f t="shared" si="1"/>
        <v>999999999999</v>
      </c>
      <c r="AO65">
        <f t="shared" si="2"/>
        <v>999999999999</v>
      </c>
      <c r="AP65">
        <f>IF(AND(ISNUMBER(AK65),AND(OR('04 - DECISION LOG'!C37="Open",'04 - DECISION LOG'!C37="Deferred"),OR('04 - DECISION LOG'!O37="Sponsor",'04 - DECISION LOG'!O37="Steering"))),AK65,999999999999)</f>
        <v>999999999999</v>
      </c>
      <c r="AQ65">
        <f t="shared" si="7"/>
        <v>999999999999</v>
      </c>
      <c r="AR65">
        <f t="shared" si="5"/>
        <v>0</v>
      </c>
    </row>
    <row r="66" spans="1:44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t="str">
        <f>IF('04 - DECISION LOG'!A38&lt;&gt;"",IF('04 - DECISION LOG'!F38="","",'04 - DECISION LOG'!F38),"")</f>
        <v/>
      </c>
      <c r="Z66" t="str">
        <f>IF('04 - DECISION LOG'!A38&lt;&gt;"","Decisions","")</f>
        <v/>
      </c>
      <c r="AA66" t="str">
        <f>IF('04 - DECISION LOG'!A38&lt;&gt;"",IF('04 - DECISION LOG'!A38="","",'04 - DECISION LOG'!A38),"")</f>
        <v/>
      </c>
      <c r="AB66" t="str">
        <f>IF('04 - DECISION LOG'!A38&lt;&gt;"",IF('04 - DECISION LOG'!B38="","",'04 - DECISION LOG'!B38),"")</f>
        <v/>
      </c>
      <c r="AC66" t="str">
        <f>IF('04 - DECISION LOG'!A38&lt;&gt;"",IF('04 - DECISION LOG'!G38="","",'04 - DECISION LOG'!G38),"")</f>
        <v/>
      </c>
      <c r="AD66" t="str">
        <f>IF('04 - DECISION LOG'!A38&lt;&gt;"",IF('04 - DECISION LOG'!H38="","",'04 - DECISION LOG'!H38),"")</f>
        <v/>
      </c>
      <c r="AE66" t="str">
        <f>IF('04 - DECISION LOG'!A38&lt;&gt;"",IF('04 - DECISION LOG'!D38="","",'04 - DECISION LOG'!D38),"")</f>
        <v/>
      </c>
      <c r="AF66" s="17" t="str">
        <f>IF('04 - DECISION LOG'!A38&lt;&gt;"",IF('04 - DECISION LOG'!E38="","",'04 - DECISION LOG'!E38),"")</f>
        <v/>
      </c>
      <c r="AG66" t="str">
        <f>IF('04 - DECISION LOG'!A38&lt;&gt;"",IF('04 - DECISION LOG'!I38="","",'04 - DECISION LOG'!I38),"")</f>
        <v/>
      </c>
      <c r="AH66" t="str">
        <f>IF('04 - DECISION LOG'!A38&lt;&gt;"",IF('04 - DECISION LOG'!J38="","",'04 - DECISION LOG'!J38),"")</f>
        <v/>
      </c>
      <c r="AI66" t="str">
        <f>IF('04 - DECISION LOG'!A38&lt;&gt;"",IF('04 - DECISION LOG'!C38="","",'04 - DECISION LOG'!C38),"")</f>
        <v/>
      </c>
      <c r="AJ66" t="str">
        <f>IF('04 - DECISION LOG'!A38&lt;&gt;"","04 - DECISION LOG row 38","")</f>
        <v/>
      </c>
      <c r="AK66">
        <f>IF(AND('04 - DECISION LOG'!A38&lt;&gt;"",OR('04 - DECISION LOG'!C38="Open",'04 - DECISION LOG'!C38="Deferred",AND('04 - DECISION LOG'!C38="Decided",'04 - DECISION LOG'!AG38=""),'04 - DECISION LOG'!G38&lt;&gt;""),OR(AC66&lt;&gt;"",AD66&lt;&gt;"")),IF(Y66="Critical",1,IF(Y66="Review",2,3))*100000000+IF(ISNUMBER(AF66),AF66,99999)*1000+ROW(),999999999999)</f>
        <v>999999999999</v>
      </c>
      <c r="AL66">
        <f t="shared" si="0"/>
        <v>999999999999</v>
      </c>
      <c r="AM66">
        <f t="shared" si="6"/>
        <v>999999999999</v>
      </c>
      <c r="AN66">
        <f t="shared" si="1"/>
        <v>999999999999</v>
      </c>
      <c r="AO66">
        <f t="shared" si="2"/>
        <v>999999999999</v>
      </c>
      <c r="AP66">
        <f>IF(AND(ISNUMBER(AK66),AND(OR('04 - DECISION LOG'!C38="Open",'04 - DECISION LOG'!C38="Deferred"),OR('04 - DECISION LOG'!O38="Sponsor",'04 - DECISION LOG'!O38="Steering"))),AK66,999999999999)</f>
        <v>999999999999</v>
      </c>
      <c r="AQ66">
        <f t="shared" si="7"/>
        <v>999999999999</v>
      </c>
      <c r="AR66">
        <f t="shared" si="5"/>
        <v>0</v>
      </c>
    </row>
    <row r="67" spans="1:44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t="str">
        <f>IF('04 - DECISION LOG'!A39&lt;&gt;"",IF('04 - DECISION LOG'!F39="","",'04 - DECISION LOG'!F39),"")</f>
        <v/>
      </c>
      <c r="Z67" t="str">
        <f>IF('04 - DECISION LOG'!A39&lt;&gt;"","Decisions","")</f>
        <v/>
      </c>
      <c r="AA67" t="str">
        <f>IF('04 - DECISION LOG'!A39&lt;&gt;"",IF('04 - DECISION LOG'!A39="","",'04 - DECISION LOG'!A39),"")</f>
        <v/>
      </c>
      <c r="AB67" t="str">
        <f>IF('04 - DECISION LOG'!A39&lt;&gt;"",IF('04 - DECISION LOG'!B39="","",'04 - DECISION LOG'!B39),"")</f>
        <v/>
      </c>
      <c r="AC67" t="str">
        <f>IF('04 - DECISION LOG'!A39&lt;&gt;"",IF('04 - DECISION LOG'!G39="","",'04 - DECISION LOG'!G39),"")</f>
        <v/>
      </c>
      <c r="AD67" t="str">
        <f>IF('04 - DECISION LOG'!A39&lt;&gt;"",IF('04 - DECISION LOG'!H39="","",'04 - DECISION LOG'!H39),"")</f>
        <v/>
      </c>
      <c r="AE67" t="str">
        <f>IF('04 - DECISION LOG'!A39&lt;&gt;"",IF('04 - DECISION LOG'!D39="","",'04 - DECISION LOG'!D39),"")</f>
        <v/>
      </c>
      <c r="AF67" s="17" t="str">
        <f>IF('04 - DECISION LOG'!A39&lt;&gt;"",IF('04 - DECISION LOG'!E39="","",'04 - DECISION LOG'!E39),"")</f>
        <v/>
      </c>
      <c r="AG67" t="str">
        <f>IF('04 - DECISION LOG'!A39&lt;&gt;"",IF('04 - DECISION LOG'!I39="","",'04 - DECISION LOG'!I39),"")</f>
        <v/>
      </c>
      <c r="AH67" t="str">
        <f>IF('04 - DECISION LOG'!A39&lt;&gt;"",IF('04 - DECISION LOG'!J39="","",'04 - DECISION LOG'!J39),"")</f>
        <v/>
      </c>
      <c r="AI67" t="str">
        <f>IF('04 - DECISION LOG'!A39&lt;&gt;"",IF('04 - DECISION LOG'!C39="","",'04 - DECISION LOG'!C39),"")</f>
        <v/>
      </c>
      <c r="AJ67" t="str">
        <f>IF('04 - DECISION LOG'!A39&lt;&gt;"","04 - DECISION LOG row 39","")</f>
        <v/>
      </c>
      <c r="AK67">
        <f>IF(AND('04 - DECISION LOG'!A39&lt;&gt;"",OR('04 - DECISION LOG'!C39="Open",'04 - DECISION LOG'!C39="Deferred",AND('04 - DECISION LOG'!C39="Decided",'04 - DECISION LOG'!AG39=""),'04 - DECISION LOG'!G39&lt;&gt;""),OR(AC67&lt;&gt;"",AD67&lt;&gt;"")),IF(Y67="Critical",1,IF(Y67="Review",2,3))*100000000+IF(ISNUMBER(AF67),AF67,99999)*1000+ROW(),999999999999)</f>
        <v>999999999999</v>
      </c>
      <c r="AL67">
        <f t="shared" si="0"/>
        <v>999999999999</v>
      </c>
      <c r="AM67">
        <f t="shared" si="6"/>
        <v>999999999999</v>
      </c>
      <c r="AN67">
        <f t="shared" si="1"/>
        <v>999999999999</v>
      </c>
      <c r="AO67">
        <f t="shared" si="2"/>
        <v>999999999999</v>
      </c>
      <c r="AP67">
        <f>IF(AND(ISNUMBER(AK67),AND(OR('04 - DECISION LOG'!C39="Open",'04 - DECISION LOG'!C39="Deferred"),OR('04 - DECISION LOG'!O39="Sponsor",'04 - DECISION LOG'!O39="Steering"))),AK67,999999999999)</f>
        <v>999999999999</v>
      </c>
      <c r="AQ67">
        <f t="shared" si="7"/>
        <v>999999999999</v>
      </c>
      <c r="AR67">
        <f t="shared" si="5"/>
        <v>0</v>
      </c>
    </row>
    <row r="68" spans="1:44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t="str">
        <f>IF('04 - DECISION LOG'!A40&lt;&gt;"",IF('04 - DECISION LOG'!F40="","",'04 - DECISION LOG'!F40),"")</f>
        <v/>
      </c>
      <c r="Z68" t="str">
        <f>IF('04 - DECISION LOG'!A40&lt;&gt;"","Decisions","")</f>
        <v/>
      </c>
      <c r="AA68" t="str">
        <f>IF('04 - DECISION LOG'!A40&lt;&gt;"",IF('04 - DECISION LOG'!A40="","",'04 - DECISION LOG'!A40),"")</f>
        <v/>
      </c>
      <c r="AB68" t="str">
        <f>IF('04 - DECISION LOG'!A40&lt;&gt;"",IF('04 - DECISION LOG'!B40="","",'04 - DECISION LOG'!B40),"")</f>
        <v/>
      </c>
      <c r="AC68" t="str">
        <f>IF('04 - DECISION LOG'!A40&lt;&gt;"",IF('04 - DECISION LOG'!G40="","",'04 - DECISION LOG'!G40),"")</f>
        <v/>
      </c>
      <c r="AD68" t="str">
        <f>IF('04 - DECISION LOG'!A40&lt;&gt;"",IF('04 - DECISION LOG'!H40="","",'04 - DECISION LOG'!H40),"")</f>
        <v/>
      </c>
      <c r="AE68" t="str">
        <f>IF('04 - DECISION LOG'!A40&lt;&gt;"",IF('04 - DECISION LOG'!D40="","",'04 - DECISION LOG'!D40),"")</f>
        <v/>
      </c>
      <c r="AF68" s="17" t="str">
        <f>IF('04 - DECISION LOG'!A40&lt;&gt;"",IF('04 - DECISION LOG'!E40="","",'04 - DECISION LOG'!E40),"")</f>
        <v/>
      </c>
      <c r="AG68" t="str">
        <f>IF('04 - DECISION LOG'!A40&lt;&gt;"",IF('04 - DECISION LOG'!I40="","",'04 - DECISION LOG'!I40),"")</f>
        <v/>
      </c>
      <c r="AH68" t="str">
        <f>IF('04 - DECISION LOG'!A40&lt;&gt;"",IF('04 - DECISION LOG'!J40="","",'04 - DECISION LOG'!J40),"")</f>
        <v/>
      </c>
      <c r="AI68" t="str">
        <f>IF('04 - DECISION LOG'!A40&lt;&gt;"",IF('04 - DECISION LOG'!C40="","",'04 - DECISION LOG'!C40),"")</f>
        <v/>
      </c>
      <c r="AJ68" t="str">
        <f>IF('04 - DECISION LOG'!A40&lt;&gt;"","04 - DECISION LOG row 40","")</f>
        <v/>
      </c>
      <c r="AK68">
        <f>IF(AND('04 - DECISION LOG'!A40&lt;&gt;"",OR('04 - DECISION LOG'!C40="Open",'04 - DECISION LOG'!C40="Deferred",AND('04 - DECISION LOG'!C40="Decided",'04 - DECISION LOG'!AG40=""),'04 - DECISION LOG'!G40&lt;&gt;""),OR(AC68&lt;&gt;"",AD68&lt;&gt;"")),IF(Y68="Critical",1,IF(Y68="Review",2,3))*100000000+IF(ISNUMBER(AF68),AF68,99999)*1000+ROW(),999999999999)</f>
        <v>999999999999</v>
      </c>
      <c r="AL68">
        <f t="shared" si="0"/>
        <v>999999999999</v>
      </c>
      <c r="AM68">
        <f t="shared" si="6"/>
        <v>999999999999</v>
      </c>
      <c r="AN68">
        <f t="shared" si="1"/>
        <v>999999999999</v>
      </c>
      <c r="AO68">
        <f t="shared" si="2"/>
        <v>999999999999</v>
      </c>
      <c r="AP68">
        <f>IF(AND(ISNUMBER(AK68),AND(OR('04 - DECISION LOG'!C40="Open",'04 - DECISION LOG'!C40="Deferred"),OR('04 - DECISION LOG'!O40="Sponsor",'04 - DECISION LOG'!O40="Steering"))),AK68,999999999999)</f>
        <v>999999999999</v>
      </c>
      <c r="AQ68">
        <f t="shared" si="7"/>
        <v>999999999999</v>
      </c>
      <c r="AR68">
        <f t="shared" si="5"/>
        <v>0</v>
      </c>
    </row>
    <row r="69" spans="1:44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t="str">
        <f>IF('04 - DECISION LOG'!A41&lt;&gt;"",IF('04 - DECISION LOG'!F41="","",'04 - DECISION LOG'!F41),"")</f>
        <v/>
      </c>
      <c r="Z69" t="str">
        <f>IF('04 - DECISION LOG'!A41&lt;&gt;"","Decisions","")</f>
        <v/>
      </c>
      <c r="AA69" t="str">
        <f>IF('04 - DECISION LOG'!A41&lt;&gt;"",IF('04 - DECISION LOG'!A41="","",'04 - DECISION LOG'!A41),"")</f>
        <v/>
      </c>
      <c r="AB69" t="str">
        <f>IF('04 - DECISION LOG'!A41&lt;&gt;"",IF('04 - DECISION LOG'!B41="","",'04 - DECISION LOG'!B41),"")</f>
        <v/>
      </c>
      <c r="AC69" t="str">
        <f>IF('04 - DECISION LOG'!A41&lt;&gt;"",IF('04 - DECISION LOG'!G41="","",'04 - DECISION LOG'!G41),"")</f>
        <v/>
      </c>
      <c r="AD69" t="str">
        <f>IF('04 - DECISION LOG'!A41&lt;&gt;"",IF('04 - DECISION LOG'!H41="","",'04 - DECISION LOG'!H41),"")</f>
        <v/>
      </c>
      <c r="AE69" t="str">
        <f>IF('04 - DECISION LOG'!A41&lt;&gt;"",IF('04 - DECISION LOG'!D41="","",'04 - DECISION LOG'!D41),"")</f>
        <v/>
      </c>
      <c r="AF69" s="17" t="str">
        <f>IF('04 - DECISION LOG'!A41&lt;&gt;"",IF('04 - DECISION LOG'!E41="","",'04 - DECISION LOG'!E41),"")</f>
        <v/>
      </c>
      <c r="AG69" t="str">
        <f>IF('04 - DECISION LOG'!A41&lt;&gt;"",IF('04 - DECISION LOG'!I41="","",'04 - DECISION LOG'!I41),"")</f>
        <v/>
      </c>
      <c r="AH69" t="str">
        <f>IF('04 - DECISION LOG'!A41&lt;&gt;"",IF('04 - DECISION LOG'!J41="","",'04 - DECISION LOG'!J41),"")</f>
        <v/>
      </c>
      <c r="AI69" t="str">
        <f>IF('04 - DECISION LOG'!A41&lt;&gt;"",IF('04 - DECISION LOG'!C41="","",'04 - DECISION LOG'!C41),"")</f>
        <v/>
      </c>
      <c r="AJ69" t="str">
        <f>IF('04 - DECISION LOG'!A41&lt;&gt;"","04 - DECISION LOG row 41","")</f>
        <v/>
      </c>
      <c r="AK69">
        <f>IF(AND('04 - DECISION LOG'!A41&lt;&gt;"",OR('04 - DECISION LOG'!C41="Open",'04 - DECISION LOG'!C41="Deferred",AND('04 - DECISION LOG'!C41="Decided",'04 - DECISION LOG'!AG41=""),'04 - DECISION LOG'!G41&lt;&gt;""),OR(AC69&lt;&gt;"",AD69&lt;&gt;"")),IF(Y69="Critical",1,IF(Y69="Review",2,3))*100000000+IF(ISNUMBER(AF69),AF69,99999)*1000+ROW(),999999999999)</f>
        <v>999999999999</v>
      </c>
      <c r="AL69">
        <f t="shared" si="0"/>
        <v>999999999999</v>
      </c>
      <c r="AM69">
        <f t="shared" si="6"/>
        <v>999999999999</v>
      </c>
      <c r="AN69">
        <f t="shared" si="1"/>
        <v>999999999999</v>
      </c>
      <c r="AO69">
        <f t="shared" si="2"/>
        <v>999999999999</v>
      </c>
      <c r="AP69">
        <f>IF(AND(ISNUMBER(AK69),AND(OR('04 - DECISION LOG'!C41="Open",'04 - DECISION LOG'!C41="Deferred"),OR('04 - DECISION LOG'!O41="Sponsor",'04 - DECISION LOG'!O41="Steering"))),AK69,999999999999)</f>
        <v>999999999999</v>
      </c>
      <c r="AQ69">
        <f t="shared" si="7"/>
        <v>999999999999</v>
      </c>
      <c r="AR69">
        <f t="shared" si="5"/>
        <v>0</v>
      </c>
    </row>
    <row r="70" spans="1:44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t="str">
        <f>IF('04 - DECISION LOG'!A42&lt;&gt;"",IF('04 - DECISION LOG'!F42="","",'04 - DECISION LOG'!F42),"")</f>
        <v/>
      </c>
      <c r="Z70" t="str">
        <f>IF('04 - DECISION LOG'!A42&lt;&gt;"","Decisions","")</f>
        <v/>
      </c>
      <c r="AA70" t="str">
        <f>IF('04 - DECISION LOG'!A42&lt;&gt;"",IF('04 - DECISION LOG'!A42="","",'04 - DECISION LOG'!A42),"")</f>
        <v/>
      </c>
      <c r="AB70" t="str">
        <f>IF('04 - DECISION LOG'!A42&lt;&gt;"",IF('04 - DECISION LOG'!B42="","",'04 - DECISION LOG'!B42),"")</f>
        <v/>
      </c>
      <c r="AC70" t="str">
        <f>IF('04 - DECISION LOG'!A42&lt;&gt;"",IF('04 - DECISION LOG'!G42="","",'04 - DECISION LOG'!G42),"")</f>
        <v/>
      </c>
      <c r="AD70" t="str">
        <f>IF('04 - DECISION LOG'!A42&lt;&gt;"",IF('04 - DECISION LOG'!H42="","",'04 - DECISION LOG'!H42),"")</f>
        <v/>
      </c>
      <c r="AE70" t="str">
        <f>IF('04 - DECISION LOG'!A42&lt;&gt;"",IF('04 - DECISION LOG'!D42="","",'04 - DECISION LOG'!D42),"")</f>
        <v/>
      </c>
      <c r="AF70" s="17" t="str">
        <f>IF('04 - DECISION LOG'!A42&lt;&gt;"",IF('04 - DECISION LOG'!E42="","",'04 - DECISION LOG'!E42),"")</f>
        <v/>
      </c>
      <c r="AG70" t="str">
        <f>IF('04 - DECISION LOG'!A42&lt;&gt;"",IF('04 - DECISION LOG'!I42="","",'04 - DECISION LOG'!I42),"")</f>
        <v/>
      </c>
      <c r="AH70" t="str">
        <f>IF('04 - DECISION LOG'!A42&lt;&gt;"",IF('04 - DECISION LOG'!J42="","",'04 - DECISION LOG'!J42),"")</f>
        <v/>
      </c>
      <c r="AI70" t="str">
        <f>IF('04 - DECISION LOG'!A42&lt;&gt;"",IF('04 - DECISION LOG'!C42="","",'04 - DECISION LOG'!C42),"")</f>
        <v/>
      </c>
      <c r="AJ70" t="str">
        <f>IF('04 - DECISION LOG'!A42&lt;&gt;"","04 - DECISION LOG row 42","")</f>
        <v/>
      </c>
      <c r="AK70">
        <f>IF(AND('04 - DECISION LOG'!A42&lt;&gt;"",OR('04 - DECISION LOG'!C42="Open",'04 - DECISION LOG'!C42="Deferred",AND('04 - DECISION LOG'!C42="Decided",'04 - DECISION LOG'!AG42=""),'04 - DECISION LOG'!G42&lt;&gt;""),OR(AC70&lt;&gt;"",AD70&lt;&gt;"")),IF(Y70="Critical",1,IF(Y70="Review",2,3))*100000000+IF(ISNUMBER(AF70),AF70,99999)*1000+ROW(),999999999999)</f>
        <v>999999999999</v>
      </c>
      <c r="AL70">
        <f t="shared" si="0"/>
        <v>999999999999</v>
      </c>
      <c r="AM70">
        <f t="shared" si="6"/>
        <v>999999999999</v>
      </c>
      <c r="AN70">
        <f t="shared" si="1"/>
        <v>999999999999</v>
      </c>
      <c r="AO70">
        <f t="shared" si="2"/>
        <v>999999999999</v>
      </c>
      <c r="AP70">
        <f>IF(AND(ISNUMBER(AK70),AND(OR('04 - DECISION LOG'!C42="Open",'04 - DECISION LOG'!C42="Deferred"),OR('04 - DECISION LOG'!O42="Sponsor",'04 - DECISION LOG'!O42="Steering"))),AK70,999999999999)</f>
        <v>999999999999</v>
      </c>
      <c r="AQ70">
        <f t="shared" si="7"/>
        <v>999999999999</v>
      </c>
      <c r="AR70">
        <f t="shared" si="5"/>
        <v>0</v>
      </c>
    </row>
    <row r="71" spans="1:44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t="str">
        <f>IF('04 - DECISION LOG'!A43&lt;&gt;"",IF('04 - DECISION LOG'!F43="","",'04 - DECISION LOG'!F43),"")</f>
        <v/>
      </c>
      <c r="Z71" t="str">
        <f>IF('04 - DECISION LOG'!A43&lt;&gt;"","Decisions","")</f>
        <v/>
      </c>
      <c r="AA71" t="str">
        <f>IF('04 - DECISION LOG'!A43&lt;&gt;"",IF('04 - DECISION LOG'!A43="","",'04 - DECISION LOG'!A43),"")</f>
        <v/>
      </c>
      <c r="AB71" t="str">
        <f>IF('04 - DECISION LOG'!A43&lt;&gt;"",IF('04 - DECISION LOG'!B43="","",'04 - DECISION LOG'!B43),"")</f>
        <v/>
      </c>
      <c r="AC71" t="str">
        <f>IF('04 - DECISION LOG'!A43&lt;&gt;"",IF('04 - DECISION LOG'!G43="","",'04 - DECISION LOG'!G43),"")</f>
        <v/>
      </c>
      <c r="AD71" t="str">
        <f>IF('04 - DECISION LOG'!A43&lt;&gt;"",IF('04 - DECISION LOG'!H43="","",'04 - DECISION LOG'!H43),"")</f>
        <v/>
      </c>
      <c r="AE71" t="str">
        <f>IF('04 - DECISION LOG'!A43&lt;&gt;"",IF('04 - DECISION LOG'!D43="","",'04 - DECISION LOG'!D43),"")</f>
        <v/>
      </c>
      <c r="AF71" s="17" t="str">
        <f>IF('04 - DECISION LOG'!A43&lt;&gt;"",IF('04 - DECISION LOG'!E43="","",'04 - DECISION LOG'!E43),"")</f>
        <v/>
      </c>
      <c r="AG71" t="str">
        <f>IF('04 - DECISION LOG'!A43&lt;&gt;"",IF('04 - DECISION LOG'!I43="","",'04 - DECISION LOG'!I43),"")</f>
        <v/>
      </c>
      <c r="AH71" t="str">
        <f>IF('04 - DECISION LOG'!A43&lt;&gt;"",IF('04 - DECISION LOG'!J43="","",'04 - DECISION LOG'!J43),"")</f>
        <v/>
      </c>
      <c r="AI71" t="str">
        <f>IF('04 - DECISION LOG'!A43&lt;&gt;"",IF('04 - DECISION LOG'!C43="","",'04 - DECISION LOG'!C43),"")</f>
        <v/>
      </c>
      <c r="AJ71" t="str">
        <f>IF('04 - DECISION LOG'!A43&lt;&gt;"","04 - DECISION LOG row 43","")</f>
        <v/>
      </c>
      <c r="AK71">
        <f>IF(AND('04 - DECISION LOG'!A43&lt;&gt;"",OR('04 - DECISION LOG'!C43="Open",'04 - DECISION LOG'!C43="Deferred",AND('04 - DECISION LOG'!C43="Decided",'04 - DECISION LOG'!AG43=""),'04 - DECISION LOG'!G43&lt;&gt;""),OR(AC71&lt;&gt;"",AD71&lt;&gt;"")),IF(Y71="Critical",1,IF(Y71="Review",2,3))*100000000+IF(ISNUMBER(AF71),AF71,99999)*1000+ROW(),999999999999)</f>
        <v>999999999999</v>
      </c>
      <c r="AL71">
        <f t="shared" si="0"/>
        <v>999999999999</v>
      </c>
      <c r="AM71">
        <f t="shared" si="6"/>
        <v>999999999999</v>
      </c>
      <c r="AN71">
        <f t="shared" si="1"/>
        <v>999999999999</v>
      </c>
      <c r="AO71">
        <f t="shared" si="2"/>
        <v>999999999999</v>
      </c>
      <c r="AP71">
        <f>IF(AND(ISNUMBER(AK71),AND(OR('04 - DECISION LOG'!C43="Open",'04 - DECISION LOG'!C43="Deferred"),OR('04 - DECISION LOG'!O43="Sponsor",'04 - DECISION LOG'!O43="Steering"))),AK71,999999999999)</f>
        <v>999999999999</v>
      </c>
      <c r="AQ71">
        <f t="shared" si="7"/>
        <v>999999999999</v>
      </c>
      <c r="AR71">
        <f t="shared" si="5"/>
        <v>0</v>
      </c>
    </row>
    <row r="72" spans="1:44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t="str">
        <f>IF('04 - DECISION LOG'!A44&lt;&gt;"",IF('04 - DECISION LOG'!F44="","",'04 - DECISION LOG'!F44),"")</f>
        <v/>
      </c>
      <c r="Z72" t="str">
        <f>IF('04 - DECISION LOG'!A44&lt;&gt;"","Decisions","")</f>
        <v/>
      </c>
      <c r="AA72" t="str">
        <f>IF('04 - DECISION LOG'!A44&lt;&gt;"",IF('04 - DECISION LOG'!A44="","",'04 - DECISION LOG'!A44),"")</f>
        <v/>
      </c>
      <c r="AB72" t="str">
        <f>IF('04 - DECISION LOG'!A44&lt;&gt;"",IF('04 - DECISION LOG'!B44="","",'04 - DECISION LOG'!B44),"")</f>
        <v/>
      </c>
      <c r="AC72" t="str">
        <f>IF('04 - DECISION LOG'!A44&lt;&gt;"",IF('04 - DECISION LOG'!G44="","",'04 - DECISION LOG'!G44),"")</f>
        <v/>
      </c>
      <c r="AD72" t="str">
        <f>IF('04 - DECISION LOG'!A44&lt;&gt;"",IF('04 - DECISION LOG'!H44="","",'04 - DECISION LOG'!H44),"")</f>
        <v/>
      </c>
      <c r="AE72" t="str">
        <f>IF('04 - DECISION LOG'!A44&lt;&gt;"",IF('04 - DECISION LOG'!D44="","",'04 - DECISION LOG'!D44),"")</f>
        <v/>
      </c>
      <c r="AF72" s="17" t="str">
        <f>IF('04 - DECISION LOG'!A44&lt;&gt;"",IF('04 - DECISION LOG'!E44="","",'04 - DECISION LOG'!E44),"")</f>
        <v/>
      </c>
      <c r="AG72" t="str">
        <f>IF('04 - DECISION LOG'!A44&lt;&gt;"",IF('04 - DECISION LOG'!I44="","",'04 - DECISION LOG'!I44),"")</f>
        <v/>
      </c>
      <c r="AH72" t="str">
        <f>IF('04 - DECISION LOG'!A44&lt;&gt;"",IF('04 - DECISION LOG'!J44="","",'04 - DECISION LOG'!J44),"")</f>
        <v/>
      </c>
      <c r="AI72" t="str">
        <f>IF('04 - DECISION LOG'!A44&lt;&gt;"",IF('04 - DECISION LOG'!C44="","",'04 - DECISION LOG'!C44),"")</f>
        <v/>
      </c>
      <c r="AJ72" t="str">
        <f>IF('04 - DECISION LOG'!A44&lt;&gt;"","04 - DECISION LOG row 44","")</f>
        <v/>
      </c>
      <c r="AK72">
        <f>IF(AND('04 - DECISION LOG'!A44&lt;&gt;"",OR('04 - DECISION LOG'!C44="Open",'04 - DECISION LOG'!C44="Deferred",AND('04 - DECISION LOG'!C44="Decided",'04 - DECISION LOG'!AG44=""),'04 - DECISION LOG'!G44&lt;&gt;""),OR(AC72&lt;&gt;"",AD72&lt;&gt;"")),IF(Y72="Critical",1,IF(Y72="Review",2,3))*100000000+IF(ISNUMBER(AF72),AF72,99999)*1000+ROW(),999999999999)</f>
        <v>999999999999</v>
      </c>
      <c r="AL72">
        <f t="shared" si="0"/>
        <v>999999999999</v>
      </c>
      <c r="AM72">
        <f t="shared" si="6"/>
        <v>999999999999</v>
      </c>
      <c r="AN72">
        <f t="shared" si="1"/>
        <v>999999999999</v>
      </c>
      <c r="AO72">
        <f t="shared" si="2"/>
        <v>999999999999</v>
      </c>
      <c r="AP72">
        <f>IF(AND(ISNUMBER(AK72),AND(OR('04 - DECISION LOG'!C44="Open",'04 - DECISION LOG'!C44="Deferred"),OR('04 - DECISION LOG'!O44="Sponsor",'04 - DECISION LOG'!O44="Steering"))),AK72,999999999999)</f>
        <v>999999999999</v>
      </c>
      <c r="AQ72">
        <f t="shared" si="7"/>
        <v>999999999999</v>
      </c>
      <c r="AR72">
        <f t="shared" si="5"/>
        <v>0</v>
      </c>
    </row>
    <row r="73" spans="1:44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t="str">
        <f>IF('04 - DECISION LOG'!A45&lt;&gt;"",IF('04 - DECISION LOG'!F45="","",'04 - DECISION LOG'!F45),"")</f>
        <v/>
      </c>
      <c r="Z73" t="str">
        <f>IF('04 - DECISION LOG'!A45&lt;&gt;"","Decisions","")</f>
        <v/>
      </c>
      <c r="AA73" t="str">
        <f>IF('04 - DECISION LOG'!A45&lt;&gt;"",IF('04 - DECISION LOG'!A45="","",'04 - DECISION LOG'!A45),"")</f>
        <v/>
      </c>
      <c r="AB73" t="str">
        <f>IF('04 - DECISION LOG'!A45&lt;&gt;"",IF('04 - DECISION LOG'!B45="","",'04 - DECISION LOG'!B45),"")</f>
        <v/>
      </c>
      <c r="AC73" t="str">
        <f>IF('04 - DECISION LOG'!A45&lt;&gt;"",IF('04 - DECISION LOG'!G45="","",'04 - DECISION LOG'!G45),"")</f>
        <v/>
      </c>
      <c r="AD73" t="str">
        <f>IF('04 - DECISION LOG'!A45&lt;&gt;"",IF('04 - DECISION LOG'!H45="","",'04 - DECISION LOG'!H45),"")</f>
        <v/>
      </c>
      <c r="AE73" t="str">
        <f>IF('04 - DECISION LOG'!A45&lt;&gt;"",IF('04 - DECISION LOG'!D45="","",'04 - DECISION LOG'!D45),"")</f>
        <v/>
      </c>
      <c r="AF73" s="17" t="str">
        <f>IF('04 - DECISION LOG'!A45&lt;&gt;"",IF('04 - DECISION LOG'!E45="","",'04 - DECISION LOG'!E45),"")</f>
        <v/>
      </c>
      <c r="AG73" t="str">
        <f>IF('04 - DECISION LOG'!A45&lt;&gt;"",IF('04 - DECISION LOG'!I45="","",'04 - DECISION LOG'!I45),"")</f>
        <v/>
      </c>
      <c r="AH73" t="str">
        <f>IF('04 - DECISION LOG'!A45&lt;&gt;"",IF('04 - DECISION LOG'!J45="","",'04 - DECISION LOG'!J45),"")</f>
        <v/>
      </c>
      <c r="AI73" t="str">
        <f>IF('04 - DECISION LOG'!A45&lt;&gt;"",IF('04 - DECISION LOG'!C45="","",'04 - DECISION LOG'!C45),"")</f>
        <v/>
      </c>
      <c r="AJ73" t="str">
        <f>IF('04 - DECISION LOG'!A45&lt;&gt;"","04 - DECISION LOG row 45","")</f>
        <v/>
      </c>
      <c r="AK73">
        <f>IF(AND('04 - DECISION LOG'!A45&lt;&gt;"",OR('04 - DECISION LOG'!C45="Open",'04 - DECISION LOG'!C45="Deferred",AND('04 - DECISION LOG'!C45="Decided",'04 - DECISION LOG'!AG45=""),'04 - DECISION LOG'!G45&lt;&gt;""),OR(AC73&lt;&gt;"",AD73&lt;&gt;"")),IF(Y73="Critical",1,IF(Y73="Review",2,3))*100000000+IF(ISNUMBER(AF73),AF73,99999)*1000+ROW(),999999999999)</f>
        <v>999999999999</v>
      </c>
      <c r="AL73">
        <f t="shared" si="0"/>
        <v>999999999999</v>
      </c>
      <c r="AM73">
        <f t="shared" si="6"/>
        <v>999999999999</v>
      </c>
      <c r="AN73">
        <f t="shared" si="1"/>
        <v>999999999999</v>
      </c>
      <c r="AO73">
        <f t="shared" si="2"/>
        <v>999999999999</v>
      </c>
      <c r="AP73">
        <f>IF(AND(ISNUMBER(AK73),AND(OR('04 - DECISION LOG'!C45="Open",'04 - DECISION LOG'!C45="Deferred"),OR('04 - DECISION LOG'!O45="Sponsor",'04 - DECISION LOG'!O45="Steering"))),AK73,999999999999)</f>
        <v>999999999999</v>
      </c>
      <c r="AQ73">
        <f t="shared" si="7"/>
        <v>999999999999</v>
      </c>
      <c r="AR73">
        <f t="shared" si="5"/>
        <v>0</v>
      </c>
    </row>
    <row r="74" spans="1:44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t="str">
        <f>IF('04 - DECISION LOG'!A46&lt;&gt;"",IF('04 - DECISION LOG'!F46="","",'04 - DECISION LOG'!F46),"")</f>
        <v/>
      </c>
      <c r="Z74" t="str">
        <f>IF('04 - DECISION LOG'!A46&lt;&gt;"","Decisions","")</f>
        <v/>
      </c>
      <c r="AA74" t="str">
        <f>IF('04 - DECISION LOG'!A46&lt;&gt;"",IF('04 - DECISION LOG'!A46="","",'04 - DECISION LOG'!A46),"")</f>
        <v/>
      </c>
      <c r="AB74" t="str">
        <f>IF('04 - DECISION LOG'!A46&lt;&gt;"",IF('04 - DECISION LOG'!B46="","",'04 - DECISION LOG'!B46),"")</f>
        <v/>
      </c>
      <c r="AC74" t="str">
        <f>IF('04 - DECISION LOG'!A46&lt;&gt;"",IF('04 - DECISION LOG'!G46="","",'04 - DECISION LOG'!G46),"")</f>
        <v/>
      </c>
      <c r="AD74" t="str">
        <f>IF('04 - DECISION LOG'!A46&lt;&gt;"",IF('04 - DECISION LOG'!H46="","",'04 - DECISION LOG'!H46),"")</f>
        <v/>
      </c>
      <c r="AE74" t="str">
        <f>IF('04 - DECISION LOG'!A46&lt;&gt;"",IF('04 - DECISION LOG'!D46="","",'04 - DECISION LOG'!D46),"")</f>
        <v/>
      </c>
      <c r="AF74" s="17" t="str">
        <f>IF('04 - DECISION LOG'!A46&lt;&gt;"",IF('04 - DECISION LOG'!E46="","",'04 - DECISION LOG'!E46),"")</f>
        <v/>
      </c>
      <c r="AG74" t="str">
        <f>IF('04 - DECISION LOG'!A46&lt;&gt;"",IF('04 - DECISION LOG'!I46="","",'04 - DECISION LOG'!I46),"")</f>
        <v/>
      </c>
      <c r="AH74" t="str">
        <f>IF('04 - DECISION LOG'!A46&lt;&gt;"",IF('04 - DECISION LOG'!J46="","",'04 - DECISION LOG'!J46),"")</f>
        <v/>
      </c>
      <c r="AI74" t="str">
        <f>IF('04 - DECISION LOG'!A46&lt;&gt;"",IF('04 - DECISION LOG'!C46="","",'04 - DECISION LOG'!C46),"")</f>
        <v/>
      </c>
      <c r="AJ74" t="str">
        <f>IF('04 - DECISION LOG'!A46&lt;&gt;"","04 - DECISION LOG row 46","")</f>
        <v/>
      </c>
      <c r="AK74">
        <f>IF(AND('04 - DECISION LOG'!A46&lt;&gt;"",OR('04 - DECISION LOG'!C46="Open",'04 - DECISION LOG'!C46="Deferred",AND('04 - DECISION LOG'!C46="Decided",'04 - DECISION LOG'!AG46=""),'04 - DECISION LOG'!G46&lt;&gt;""),OR(AC74&lt;&gt;"",AD74&lt;&gt;"")),IF(Y74="Critical",1,IF(Y74="Review",2,3))*100000000+IF(ISNUMBER(AF74),AF74,99999)*1000+ROW(),999999999999)</f>
        <v>999999999999</v>
      </c>
      <c r="AL74">
        <f t="shared" si="0"/>
        <v>999999999999</v>
      </c>
      <c r="AM74">
        <f t="shared" si="6"/>
        <v>999999999999</v>
      </c>
      <c r="AN74">
        <f t="shared" si="1"/>
        <v>999999999999</v>
      </c>
      <c r="AO74">
        <f t="shared" si="2"/>
        <v>999999999999</v>
      </c>
      <c r="AP74">
        <f>IF(AND(ISNUMBER(AK74),AND(OR('04 - DECISION LOG'!C46="Open",'04 - DECISION LOG'!C46="Deferred"),OR('04 - DECISION LOG'!O46="Sponsor",'04 - DECISION LOG'!O46="Steering"))),AK74,999999999999)</f>
        <v>999999999999</v>
      </c>
      <c r="AQ74">
        <f t="shared" si="7"/>
        <v>999999999999</v>
      </c>
      <c r="AR74">
        <f t="shared" si="5"/>
        <v>0</v>
      </c>
    </row>
    <row r="75" spans="1:44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t="str">
        <f>IF('04 - DECISION LOG'!A47&lt;&gt;"",IF('04 - DECISION LOG'!F47="","",'04 - DECISION LOG'!F47),"")</f>
        <v/>
      </c>
      <c r="Z75" t="str">
        <f>IF('04 - DECISION LOG'!A47&lt;&gt;"","Decisions","")</f>
        <v/>
      </c>
      <c r="AA75" t="str">
        <f>IF('04 - DECISION LOG'!A47&lt;&gt;"",IF('04 - DECISION LOG'!A47="","",'04 - DECISION LOG'!A47),"")</f>
        <v/>
      </c>
      <c r="AB75" t="str">
        <f>IF('04 - DECISION LOG'!A47&lt;&gt;"",IF('04 - DECISION LOG'!B47="","",'04 - DECISION LOG'!B47),"")</f>
        <v/>
      </c>
      <c r="AC75" t="str">
        <f>IF('04 - DECISION LOG'!A47&lt;&gt;"",IF('04 - DECISION LOG'!G47="","",'04 - DECISION LOG'!G47),"")</f>
        <v/>
      </c>
      <c r="AD75" t="str">
        <f>IF('04 - DECISION LOG'!A47&lt;&gt;"",IF('04 - DECISION LOG'!H47="","",'04 - DECISION LOG'!H47),"")</f>
        <v/>
      </c>
      <c r="AE75" t="str">
        <f>IF('04 - DECISION LOG'!A47&lt;&gt;"",IF('04 - DECISION LOG'!D47="","",'04 - DECISION LOG'!D47),"")</f>
        <v/>
      </c>
      <c r="AF75" s="17" t="str">
        <f>IF('04 - DECISION LOG'!A47&lt;&gt;"",IF('04 - DECISION LOG'!E47="","",'04 - DECISION LOG'!E47),"")</f>
        <v/>
      </c>
      <c r="AG75" t="str">
        <f>IF('04 - DECISION LOG'!A47&lt;&gt;"",IF('04 - DECISION LOG'!I47="","",'04 - DECISION LOG'!I47),"")</f>
        <v/>
      </c>
      <c r="AH75" t="str">
        <f>IF('04 - DECISION LOG'!A47&lt;&gt;"",IF('04 - DECISION LOG'!J47="","",'04 - DECISION LOG'!J47),"")</f>
        <v/>
      </c>
      <c r="AI75" t="str">
        <f>IF('04 - DECISION LOG'!A47&lt;&gt;"",IF('04 - DECISION LOG'!C47="","",'04 - DECISION LOG'!C47),"")</f>
        <v/>
      </c>
      <c r="AJ75" t="str">
        <f>IF('04 - DECISION LOG'!A47&lt;&gt;"","04 - DECISION LOG row 47","")</f>
        <v/>
      </c>
      <c r="AK75">
        <f>IF(AND('04 - DECISION LOG'!A47&lt;&gt;"",OR('04 - DECISION LOG'!C47="Open",'04 - DECISION LOG'!C47="Deferred",AND('04 - DECISION LOG'!C47="Decided",'04 - DECISION LOG'!AG47=""),'04 - DECISION LOG'!G47&lt;&gt;""),OR(AC75&lt;&gt;"",AD75&lt;&gt;"")),IF(Y75="Critical",1,IF(Y75="Review",2,3))*100000000+IF(ISNUMBER(AF75),AF75,99999)*1000+ROW(),999999999999)</f>
        <v>999999999999</v>
      </c>
      <c r="AL75">
        <f t="shared" si="0"/>
        <v>999999999999</v>
      </c>
      <c r="AM75">
        <f t="shared" si="6"/>
        <v>999999999999</v>
      </c>
      <c r="AN75">
        <f t="shared" si="1"/>
        <v>999999999999</v>
      </c>
      <c r="AO75">
        <f t="shared" si="2"/>
        <v>999999999999</v>
      </c>
      <c r="AP75">
        <f>IF(AND(ISNUMBER(AK75),AND(OR('04 - DECISION LOG'!C47="Open",'04 - DECISION LOG'!C47="Deferred"),OR('04 - DECISION LOG'!O47="Sponsor",'04 - DECISION LOG'!O47="Steering"))),AK75,999999999999)</f>
        <v>999999999999</v>
      </c>
      <c r="AQ75">
        <f t="shared" si="7"/>
        <v>999999999999</v>
      </c>
      <c r="AR75">
        <f t="shared" si="5"/>
        <v>0</v>
      </c>
    </row>
    <row r="76" spans="1:44">
      <c r="Y76" t="str">
        <f>IF('04 - DECISION LOG'!A48&lt;&gt;"",IF('04 - DECISION LOG'!F48="","",'04 - DECISION LOG'!F48),"")</f>
        <v/>
      </c>
      <c r="Z76" t="str">
        <f>IF('04 - DECISION LOG'!A48&lt;&gt;"","Decisions","")</f>
        <v/>
      </c>
      <c r="AA76" t="str">
        <f>IF('04 - DECISION LOG'!A48&lt;&gt;"",IF('04 - DECISION LOG'!A48="","",'04 - DECISION LOG'!A48),"")</f>
        <v/>
      </c>
      <c r="AB76" t="str">
        <f>IF('04 - DECISION LOG'!A48&lt;&gt;"",IF('04 - DECISION LOG'!B48="","",'04 - DECISION LOG'!B48),"")</f>
        <v/>
      </c>
      <c r="AC76" t="str">
        <f>IF('04 - DECISION LOG'!A48&lt;&gt;"",IF('04 - DECISION LOG'!G48="","",'04 - DECISION LOG'!G48),"")</f>
        <v/>
      </c>
      <c r="AD76" t="str">
        <f>IF('04 - DECISION LOG'!A48&lt;&gt;"",IF('04 - DECISION LOG'!H48="","",'04 - DECISION LOG'!H48),"")</f>
        <v/>
      </c>
      <c r="AE76" t="str">
        <f>IF('04 - DECISION LOG'!A48&lt;&gt;"",IF('04 - DECISION LOG'!D48="","",'04 - DECISION LOG'!D48),"")</f>
        <v/>
      </c>
      <c r="AF76" s="17" t="str">
        <f>IF('04 - DECISION LOG'!A48&lt;&gt;"",IF('04 - DECISION LOG'!E48="","",'04 - DECISION LOG'!E48),"")</f>
        <v/>
      </c>
      <c r="AG76" t="str">
        <f>IF('04 - DECISION LOG'!A48&lt;&gt;"",IF('04 - DECISION LOG'!I48="","",'04 - DECISION LOG'!I48),"")</f>
        <v/>
      </c>
      <c r="AH76" t="str">
        <f>IF('04 - DECISION LOG'!A48&lt;&gt;"",IF('04 - DECISION LOG'!J48="","",'04 - DECISION LOG'!J48),"")</f>
        <v/>
      </c>
      <c r="AI76" t="str">
        <f>IF('04 - DECISION LOG'!A48&lt;&gt;"",IF('04 - DECISION LOG'!C48="","",'04 - DECISION LOG'!C48),"")</f>
        <v/>
      </c>
      <c r="AJ76" t="str">
        <f>IF('04 - DECISION LOG'!A48&lt;&gt;"","04 - DECISION LOG row 48","")</f>
        <v/>
      </c>
      <c r="AK76">
        <f>IF(AND('04 - DECISION LOG'!A48&lt;&gt;"",OR('04 - DECISION LOG'!C48="Open",'04 - DECISION LOG'!C48="Deferred",AND('04 - DECISION LOG'!C48="Decided",'04 - DECISION LOG'!AG48=""),'04 - DECISION LOG'!G48&lt;&gt;""),OR(AC76&lt;&gt;"",AD76&lt;&gt;"")),IF(Y76="Critical",1,IF(Y76="Review",2,3))*100000000+IF(ISNUMBER(AF76),AF76,99999)*1000+ROW(),999999999999)</f>
        <v>999999999999</v>
      </c>
      <c r="AL76">
        <f t="shared" si="0"/>
        <v>999999999999</v>
      </c>
      <c r="AM76">
        <f t="shared" si="6"/>
        <v>999999999999</v>
      </c>
      <c r="AN76">
        <f t="shared" si="1"/>
        <v>999999999999</v>
      </c>
      <c r="AO76">
        <f t="shared" si="2"/>
        <v>999999999999</v>
      </c>
      <c r="AP76">
        <f>IF(AND(ISNUMBER(AK76),AND(OR('04 - DECISION LOG'!C48="Open",'04 - DECISION LOG'!C48="Deferred"),OR('04 - DECISION LOG'!O48="Sponsor",'04 - DECISION LOG'!O48="Steering"))),AK76,999999999999)</f>
        <v>999999999999</v>
      </c>
      <c r="AQ76">
        <f t="shared" si="7"/>
        <v>999999999999</v>
      </c>
      <c r="AR76">
        <f t="shared" si="5"/>
        <v>0</v>
      </c>
    </row>
    <row r="77" spans="1:44">
      <c r="Y77" t="str">
        <f>IF('04 - DECISION LOG'!A49&lt;&gt;"",IF('04 - DECISION LOG'!F49="","",'04 - DECISION LOG'!F49),"")</f>
        <v/>
      </c>
      <c r="Z77" t="str">
        <f>IF('04 - DECISION LOG'!A49&lt;&gt;"","Decisions","")</f>
        <v/>
      </c>
      <c r="AA77" t="str">
        <f>IF('04 - DECISION LOG'!A49&lt;&gt;"",IF('04 - DECISION LOG'!A49="","",'04 - DECISION LOG'!A49),"")</f>
        <v/>
      </c>
      <c r="AB77" t="str">
        <f>IF('04 - DECISION LOG'!A49&lt;&gt;"",IF('04 - DECISION LOG'!B49="","",'04 - DECISION LOG'!B49),"")</f>
        <v/>
      </c>
      <c r="AC77" t="str">
        <f>IF('04 - DECISION LOG'!A49&lt;&gt;"",IF('04 - DECISION LOG'!G49="","",'04 - DECISION LOG'!G49),"")</f>
        <v/>
      </c>
      <c r="AD77" t="str">
        <f>IF('04 - DECISION LOG'!A49&lt;&gt;"",IF('04 - DECISION LOG'!H49="","",'04 - DECISION LOG'!H49),"")</f>
        <v/>
      </c>
      <c r="AE77" t="str">
        <f>IF('04 - DECISION LOG'!A49&lt;&gt;"",IF('04 - DECISION LOG'!D49="","",'04 - DECISION LOG'!D49),"")</f>
        <v/>
      </c>
      <c r="AF77" s="17" t="str">
        <f>IF('04 - DECISION LOG'!A49&lt;&gt;"",IF('04 - DECISION LOG'!E49="","",'04 - DECISION LOG'!E49),"")</f>
        <v/>
      </c>
      <c r="AG77" t="str">
        <f>IF('04 - DECISION LOG'!A49&lt;&gt;"",IF('04 - DECISION LOG'!I49="","",'04 - DECISION LOG'!I49),"")</f>
        <v/>
      </c>
      <c r="AH77" t="str">
        <f>IF('04 - DECISION LOG'!A49&lt;&gt;"",IF('04 - DECISION LOG'!J49="","",'04 - DECISION LOG'!J49),"")</f>
        <v/>
      </c>
      <c r="AI77" t="str">
        <f>IF('04 - DECISION LOG'!A49&lt;&gt;"",IF('04 - DECISION LOG'!C49="","",'04 - DECISION LOG'!C49),"")</f>
        <v/>
      </c>
      <c r="AJ77" t="str">
        <f>IF('04 - DECISION LOG'!A49&lt;&gt;"","04 - DECISION LOG row 49","")</f>
        <v/>
      </c>
      <c r="AK77">
        <f>IF(AND('04 - DECISION LOG'!A49&lt;&gt;"",OR('04 - DECISION LOG'!C49="Open",'04 - DECISION LOG'!C49="Deferred",AND('04 - DECISION LOG'!C49="Decided",'04 - DECISION LOG'!AG49=""),'04 - DECISION LOG'!G49&lt;&gt;""),OR(AC77&lt;&gt;"",AD77&lt;&gt;"")),IF(Y77="Critical",1,IF(Y77="Review",2,3))*100000000+IF(ISNUMBER(AF77),AF77,99999)*1000+ROW(),999999999999)</f>
        <v>999999999999</v>
      </c>
      <c r="AL77">
        <f t="shared" si="0"/>
        <v>999999999999</v>
      </c>
      <c r="AM77">
        <f t="shared" si="6"/>
        <v>999999999999</v>
      </c>
      <c r="AN77">
        <f t="shared" si="1"/>
        <v>999999999999</v>
      </c>
      <c r="AO77">
        <f t="shared" si="2"/>
        <v>999999999999</v>
      </c>
      <c r="AP77">
        <f>IF(AND(ISNUMBER(AK77),AND(OR('04 - DECISION LOG'!C49="Open",'04 - DECISION LOG'!C49="Deferred"),OR('04 - DECISION LOG'!O49="Sponsor",'04 - DECISION LOG'!O49="Steering"))),AK77,999999999999)</f>
        <v>999999999999</v>
      </c>
      <c r="AQ77">
        <f t="shared" si="7"/>
        <v>999999999999</v>
      </c>
      <c r="AR77">
        <f t="shared" si="5"/>
        <v>0</v>
      </c>
    </row>
    <row r="78" spans="1:44">
      <c r="Y78" t="str">
        <f>IF('04 - DECISION LOG'!A50&lt;&gt;"",IF('04 - DECISION LOG'!F50="","",'04 - DECISION LOG'!F50),"")</f>
        <v/>
      </c>
      <c r="Z78" t="str">
        <f>IF('04 - DECISION LOG'!A50&lt;&gt;"","Decisions","")</f>
        <v/>
      </c>
      <c r="AA78" t="str">
        <f>IF('04 - DECISION LOG'!A50&lt;&gt;"",IF('04 - DECISION LOG'!A50="","",'04 - DECISION LOG'!A50),"")</f>
        <v/>
      </c>
      <c r="AB78" t="str">
        <f>IF('04 - DECISION LOG'!A50&lt;&gt;"",IF('04 - DECISION LOG'!B50="","",'04 - DECISION LOG'!B50),"")</f>
        <v/>
      </c>
      <c r="AC78" t="str">
        <f>IF('04 - DECISION LOG'!A50&lt;&gt;"",IF('04 - DECISION LOG'!G50="","",'04 - DECISION LOG'!G50),"")</f>
        <v/>
      </c>
      <c r="AD78" t="str">
        <f>IF('04 - DECISION LOG'!A50&lt;&gt;"",IF('04 - DECISION LOG'!H50="","",'04 - DECISION LOG'!H50),"")</f>
        <v/>
      </c>
      <c r="AE78" t="str">
        <f>IF('04 - DECISION LOG'!A50&lt;&gt;"",IF('04 - DECISION LOG'!D50="","",'04 - DECISION LOG'!D50),"")</f>
        <v/>
      </c>
      <c r="AF78" s="17" t="str">
        <f>IF('04 - DECISION LOG'!A50&lt;&gt;"",IF('04 - DECISION LOG'!E50="","",'04 - DECISION LOG'!E50),"")</f>
        <v/>
      </c>
      <c r="AG78" t="str">
        <f>IF('04 - DECISION LOG'!A50&lt;&gt;"",IF('04 - DECISION LOG'!I50="","",'04 - DECISION LOG'!I50),"")</f>
        <v/>
      </c>
      <c r="AH78" t="str">
        <f>IF('04 - DECISION LOG'!A50&lt;&gt;"",IF('04 - DECISION LOG'!J50="","",'04 - DECISION LOG'!J50),"")</f>
        <v/>
      </c>
      <c r="AI78" t="str">
        <f>IF('04 - DECISION LOG'!A50&lt;&gt;"",IF('04 - DECISION LOG'!C50="","",'04 - DECISION LOG'!C50),"")</f>
        <v/>
      </c>
      <c r="AJ78" t="str">
        <f>IF('04 - DECISION LOG'!A50&lt;&gt;"","04 - DECISION LOG row 50","")</f>
        <v/>
      </c>
      <c r="AK78">
        <f>IF(AND('04 - DECISION LOG'!A50&lt;&gt;"",OR('04 - DECISION LOG'!C50="Open",'04 - DECISION LOG'!C50="Deferred",AND('04 - DECISION LOG'!C50="Decided",'04 - DECISION LOG'!AG50=""),'04 - DECISION LOG'!G50&lt;&gt;""),OR(AC78&lt;&gt;"",AD78&lt;&gt;"")),IF(Y78="Critical",1,IF(Y78="Review",2,3))*100000000+IF(ISNUMBER(AF78),AF78,99999)*1000+ROW(),999999999999)</f>
        <v>999999999999</v>
      </c>
      <c r="AL78">
        <f t="shared" si="0"/>
        <v>999999999999</v>
      </c>
      <c r="AM78">
        <f t="shared" si="6"/>
        <v>999999999999</v>
      </c>
      <c r="AN78">
        <f t="shared" si="1"/>
        <v>999999999999</v>
      </c>
      <c r="AO78">
        <f t="shared" si="2"/>
        <v>999999999999</v>
      </c>
      <c r="AP78">
        <f>IF(AND(ISNUMBER(AK78),AND(OR('04 - DECISION LOG'!C50="Open",'04 - DECISION LOG'!C50="Deferred"),OR('04 - DECISION LOG'!O50="Sponsor",'04 - DECISION LOG'!O50="Steering"))),AK78,999999999999)</f>
        <v>999999999999</v>
      </c>
      <c r="AQ78">
        <f t="shared" si="7"/>
        <v>999999999999</v>
      </c>
      <c r="AR78">
        <f t="shared" si="5"/>
        <v>0</v>
      </c>
    </row>
    <row r="79" spans="1:44">
      <c r="Y79" t="str">
        <f>IF('04 - DECISION LOG'!A51&lt;&gt;"",IF('04 - DECISION LOG'!F51="","",'04 - DECISION LOG'!F51),"")</f>
        <v/>
      </c>
      <c r="Z79" t="str">
        <f>IF('04 - DECISION LOG'!A51&lt;&gt;"","Decisions","")</f>
        <v/>
      </c>
      <c r="AA79" t="str">
        <f>IF('04 - DECISION LOG'!A51&lt;&gt;"",IF('04 - DECISION LOG'!A51="","",'04 - DECISION LOG'!A51),"")</f>
        <v/>
      </c>
      <c r="AB79" t="str">
        <f>IF('04 - DECISION LOG'!A51&lt;&gt;"",IF('04 - DECISION LOG'!B51="","",'04 - DECISION LOG'!B51),"")</f>
        <v/>
      </c>
      <c r="AC79" t="str">
        <f>IF('04 - DECISION LOG'!A51&lt;&gt;"",IF('04 - DECISION LOG'!G51="","",'04 - DECISION LOG'!G51),"")</f>
        <v/>
      </c>
      <c r="AD79" t="str">
        <f>IF('04 - DECISION LOG'!A51&lt;&gt;"",IF('04 - DECISION LOG'!H51="","",'04 - DECISION LOG'!H51),"")</f>
        <v/>
      </c>
      <c r="AE79" t="str">
        <f>IF('04 - DECISION LOG'!A51&lt;&gt;"",IF('04 - DECISION LOG'!D51="","",'04 - DECISION LOG'!D51),"")</f>
        <v/>
      </c>
      <c r="AF79" s="17" t="str">
        <f>IF('04 - DECISION LOG'!A51&lt;&gt;"",IF('04 - DECISION LOG'!E51="","",'04 - DECISION LOG'!E51),"")</f>
        <v/>
      </c>
      <c r="AG79" t="str">
        <f>IF('04 - DECISION LOG'!A51&lt;&gt;"",IF('04 - DECISION LOG'!I51="","",'04 - DECISION LOG'!I51),"")</f>
        <v/>
      </c>
      <c r="AH79" t="str">
        <f>IF('04 - DECISION LOG'!A51&lt;&gt;"",IF('04 - DECISION LOG'!J51="","",'04 - DECISION LOG'!J51),"")</f>
        <v/>
      </c>
      <c r="AI79" t="str">
        <f>IF('04 - DECISION LOG'!A51&lt;&gt;"",IF('04 - DECISION LOG'!C51="","",'04 - DECISION LOG'!C51),"")</f>
        <v/>
      </c>
      <c r="AJ79" t="str">
        <f>IF('04 - DECISION LOG'!A51&lt;&gt;"","04 - DECISION LOG row 51","")</f>
        <v/>
      </c>
      <c r="AK79">
        <f>IF(AND('04 - DECISION LOG'!A51&lt;&gt;"",OR('04 - DECISION LOG'!C51="Open",'04 - DECISION LOG'!C51="Deferred",AND('04 - DECISION LOG'!C51="Decided",'04 - DECISION LOG'!AG51=""),'04 - DECISION LOG'!G51&lt;&gt;""),OR(AC79&lt;&gt;"",AD79&lt;&gt;"")),IF(Y79="Critical",1,IF(Y79="Review",2,3))*100000000+IF(ISNUMBER(AF79),AF79,99999)*1000+ROW(),999999999999)</f>
        <v>999999999999</v>
      </c>
      <c r="AL79">
        <f t="shared" si="0"/>
        <v>999999999999</v>
      </c>
      <c r="AM79">
        <f t="shared" si="6"/>
        <v>999999999999</v>
      </c>
      <c r="AN79">
        <f t="shared" si="1"/>
        <v>999999999999</v>
      </c>
      <c r="AO79">
        <f t="shared" si="2"/>
        <v>999999999999</v>
      </c>
      <c r="AP79">
        <f>IF(AND(ISNUMBER(AK79),AND(OR('04 - DECISION LOG'!C51="Open",'04 - DECISION LOG'!C51="Deferred"),OR('04 - DECISION LOG'!O51="Sponsor",'04 - DECISION LOG'!O51="Steering"))),AK79,999999999999)</f>
        <v>999999999999</v>
      </c>
      <c r="AQ79">
        <f t="shared" si="7"/>
        <v>999999999999</v>
      </c>
      <c r="AR79">
        <f t="shared" si="5"/>
        <v>0</v>
      </c>
    </row>
    <row r="80" spans="1:44">
      <c r="Y80" t="str">
        <f>IF('04 - DECISION LOG'!A52&lt;&gt;"",IF('04 - DECISION LOG'!F52="","",'04 - DECISION LOG'!F52),"")</f>
        <v/>
      </c>
      <c r="Z80" t="str">
        <f>IF('04 - DECISION LOG'!A52&lt;&gt;"","Decisions","")</f>
        <v/>
      </c>
      <c r="AA80" t="str">
        <f>IF('04 - DECISION LOG'!A52&lt;&gt;"",IF('04 - DECISION LOG'!A52="","",'04 - DECISION LOG'!A52),"")</f>
        <v/>
      </c>
      <c r="AB80" t="str">
        <f>IF('04 - DECISION LOG'!A52&lt;&gt;"",IF('04 - DECISION LOG'!B52="","",'04 - DECISION LOG'!B52),"")</f>
        <v/>
      </c>
      <c r="AC80" t="str">
        <f>IF('04 - DECISION LOG'!A52&lt;&gt;"",IF('04 - DECISION LOG'!G52="","",'04 - DECISION LOG'!G52),"")</f>
        <v/>
      </c>
      <c r="AD80" t="str">
        <f>IF('04 - DECISION LOG'!A52&lt;&gt;"",IF('04 - DECISION LOG'!H52="","",'04 - DECISION LOG'!H52),"")</f>
        <v/>
      </c>
      <c r="AE80" t="str">
        <f>IF('04 - DECISION LOG'!A52&lt;&gt;"",IF('04 - DECISION LOG'!D52="","",'04 - DECISION LOG'!D52),"")</f>
        <v/>
      </c>
      <c r="AF80" s="17" t="str">
        <f>IF('04 - DECISION LOG'!A52&lt;&gt;"",IF('04 - DECISION LOG'!E52="","",'04 - DECISION LOG'!E52),"")</f>
        <v/>
      </c>
      <c r="AG80" t="str">
        <f>IF('04 - DECISION LOG'!A52&lt;&gt;"",IF('04 - DECISION LOG'!I52="","",'04 - DECISION LOG'!I52),"")</f>
        <v/>
      </c>
      <c r="AH80" t="str">
        <f>IF('04 - DECISION LOG'!A52&lt;&gt;"",IF('04 - DECISION LOG'!J52="","",'04 - DECISION LOG'!J52),"")</f>
        <v/>
      </c>
      <c r="AI80" t="str">
        <f>IF('04 - DECISION LOG'!A52&lt;&gt;"",IF('04 - DECISION LOG'!C52="","",'04 - DECISION LOG'!C52),"")</f>
        <v/>
      </c>
      <c r="AJ80" t="str">
        <f>IF('04 - DECISION LOG'!A52&lt;&gt;"","04 - DECISION LOG row 52","")</f>
        <v/>
      </c>
      <c r="AK80">
        <f>IF(AND('04 - DECISION LOG'!A52&lt;&gt;"",OR('04 - DECISION LOG'!C52="Open",'04 - DECISION LOG'!C52="Deferred",AND('04 - DECISION LOG'!C52="Decided",'04 - DECISION LOG'!AG52=""),'04 - DECISION LOG'!G52&lt;&gt;""),OR(AC80&lt;&gt;"",AD80&lt;&gt;"")),IF(Y80="Critical",1,IF(Y80="Review",2,3))*100000000+IF(ISNUMBER(AF80),AF80,99999)*1000+ROW(),999999999999)</f>
        <v>999999999999</v>
      </c>
      <c r="AL80">
        <f t="shared" si="0"/>
        <v>999999999999</v>
      </c>
      <c r="AM80">
        <f t="shared" si="6"/>
        <v>999999999999</v>
      </c>
      <c r="AN80">
        <f t="shared" si="1"/>
        <v>999999999999</v>
      </c>
      <c r="AO80">
        <f t="shared" si="2"/>
        <v>999999999999</v>
      </c>
      <c r="AP80">
        <f>IF(AND(ISNUMBER(AK80),AND(OR('04 - DECISION LOG'!C52="Open",'04 - DECISION LOG'!C52="Deferred"),OR('04 - DECISION LOG'!O52="Sponsor",'04 - DECISION LOG'!O52="Steering"))),AK80,999999999999)</f>
        <v>999999999999</v>
      </c>
      <c r="AQ80">
        <f t="shared" si="7"/>
        <v>999999999999</v>
      </c>
      <c r="AR80">
        <f t="shared" si="5"/>
        <v>0</v>
      </c>
    </row>
    <row r="81" spans="25:44">
      <c r="Y81" t="str">
        <f>IF('04 - DECISION LOG'!A53&lt;&gt;"",IF('04 - DECISION LOG'!F53="","",'04 - DECISION LOG'!F53),"")</f>
        <v/>
      </c>
      <c r="Z81" t="str">
        <f>IF('04 - DECISION LOG'!A53&lt;&gt;"","Decisions","")</f>
        <v/>
      </c>
      <c r="AA81" t="str">
        <f>IF('04 - DECISION LOG'!A53&lt;&gt;"",IF('04 - DECISION LOG'!A53="","",'04 - DECISION LOG'!A53),"")</f>
        <v/>
      </c>
      <c r="AB81" t="str">
        <f>IF('04 - DECISION LOG'!A53&lt;&gt;"",IF('04 - DECISION LOG'!B53="","",'04 - DECISION LOG'!B53),"")</f>
        <v/>
      </c>
      <c r="AC81" t="str">
        <f>IF('04 - DECISION LOG'!A53&lt;&gt;"",IF('04 - DECISION LOG'!G53="","",'04 - DECISION LOG'!G53),"")</f>
        <v/>
      </c>
      <c r="AD81" t="str">
        <f>IF('04 - DECISION LOG'!A53&lt;&gt;"",IF('04 - DECISION LOG'!H53="","",'04 - DECISION LOG'!H53),"")</f>
        <v/>
      </c>
      <c r="AE81" t="str">
        <f>IF('04 - DECISION LOG'!A53&lt;&gt;"",IF('04 - DECISION LOG'!D53="","",'04 - DECISION LOG'!D53),"")</f>
        <v/>
      </c>
      <c r="AF81" s="17" t="str">
        <f>IF('04 - DECISION LOG'!A53&lt;&gt;"",IF('04 - DECISION LOG'!E53="","",'04 - DECISION LOG'!E53),"")</f>
        <v/>
      </c>
      <c r="AG81" t="str">
        <f>IF('04 - DECISION LOG'!A53&lt;&gt;"",IF('04 - DECISION LOG'!I53="","",'04 - DECISION LOG'!I53),"")</f>
        <v/>
      </c>
      <c r="AH81" t="str">
        <f>IF('04 - DECISION LOG'!A53&lt;&gt;"",IF('04 - DECISION LOG'!J53="","",'04 - DECISION LOG'!J53),"")</f>
        <v/>
      </c>
      <c r="AI81" t="str">
        <f>IF('04 - DECISION LOG'!A53&lt;&gt;"",IF('04 - DECISION LOG'!C53="","",'04 - DECISION LOG'!C53),"")</f>
        <v/>
      </c>
      <c r="AJ81" t="str">
        <f>IF('04 - DECISION LOG'!A53&lt;&gt;"","04 - DECISION LOG row 53","")</f>
        <v/>
      </c>
      <c r="AK81">
        <f>IF(AND('04 - DECISION LOG'!A53&lt;&gt;"",OR('04 - DECISION LOG'!C53="Open",'04 - DECISION LOG'!C53="Deferred",AND('04 - DECISION LOG'!C53="Decided",'04 - DECISION LOG'!AG53=""),'04 - DECISION LOG'!G53&lt;&gt;""),OR(AC81&lt;&gt;"",AD81&lt;&gt;"")),IF(Y81="Critical",1,IF(Y81="Review",2,3))*100000000+IF(ISNUMBER(AF81),AF81,99999)*1000+ROW(),999999999999)</f>
        <v>999999999999</v>
      </c>
      <c r="AL81">
        <f t="shared" si="0"/>
        <v>999999999999</v>
      </c>
      <c r="AM81">
        <f t="shared" si="6"/>
        <v>999999999999</v>
      </c>
      <c r="AN81">
        <f t="shared" si="1"/>
        <v>999999999999</v>
      </c>
      <c r="AO81">
        <f t="shared" si="2"/>
        <v>999999999999</v>
      </c>
      <c r="AP81">
        <f>IF(AND(ISNUMBER(AK81),AND(OR('04 - DECISION LOG'!C53="Open",'04 - DECISION LOG'!C53="Deferred"),OR('04 - DECISION LOG'!O53="Sponsor",'04 - DECISION LOG'!O53="Steering"))),AK81,999999999999)</f>
        <v>999999999999</v>
      </c>
      <c r="AQ81">
        <f t="shared" si="7"/>
        <v>999999999999</v>
      </c>
      <c r="AR81">
        <f t="shared" si="5"/>
        <v>0</v>
      </c>
    </row>
    <row r="82" spans="25:44">
      <c r="Y82" t="str">
        <f>IF('04 - DECISION LOG'!A54&lt;&gt;"",IF('04 - DECISION LOG'!F54="","",'04 - DECISION LOG'!F54),"")</f>
        <v/>
      </c>
      <c r="Z82" t="str">
        <f>IF('04 - DECISION LOG'!A54&lt;&gt;"","Decisions","")</f>
        <v/>
      </c>
      <c r="AA82" t="str">
        <f>IF('04 - DECISION LOG'!A54&lt;&gt;"",IF('04 - DECISION LOG'!A54="","",'04 - DECISION LOG'!A54),"")</f>
        <v/>
      </c>
      <c r="AB82" t="str">
        <f>IF('04 - DECISION LOG'!A54&lt;&gt;"",IF('04 - DECISION LOG'!B54="","",'04 - DECISION LOG'!B54),"")</f>
        <v/>
      </c>
      <c r="AC82" t="str">
        <f>IF('04 - DECISION LOG'!A54&lt;&gt;"",IF('04 - DECISION LOG'!G54="","",'04 - DECISION LOG'!G54),"")</f>
        <v/>
      </c>
      <c r="AD82" t="str">
        <f>IF('04 - DECISION LOG'!A54&lt;&gt;"",IF('04 - DECISION LOG'!H54="","",'04 - DECISION LOG'!H54),"")</f>
        <v/>
      </c>
      <c r="AE82" t="str">
        <f>IF('04 - DECISION LOG'!A54&lt;&gt;"",IF('04 - DECISION LOG'!D54="","",'04 - DECISION LOG'!D54),"")</f>
        <v/>
      </c>
      <c r="AF82" s="17" t="str">
        <f>IF('04 - DECISION LOG'!A54&lt;&gt;"",IF('04 - DECISION LOG'!E54="","",'04 - DECISION LOG'!E54),"")</f>
        <v/>
      </c>
      <c r="AG82" t="str">
        <f>IF('04 - DECISION LOG'!A54&lt;&gt;"",IF('04 - DECISION LOG'!I54="","",'04 - DECISION LOG'!I54),"")</f>
        <v/>
      </c>
      <c r="AH82" t="str">
        <f>IF('04 - DECISION LOG'!A54&lt;&gt;"",IF('04 - DECISION LOG'!J54="","",'04 - DECISION LOG'!J54),"")</f>
        <v/>
      </c>
      <c r="AI82" t="str">
        <f>IF('04 - DECISION LOG'!A54&lt;&gt;"",IF('04 - DECISION LOG'!C54="","",'04 - DECISION LOG'!C54),"")</f>
        <v/>
      </c>
      <c r="AJ82" t="str">
        <f>IF('04 - DECISION LOG'!A54&lt;&gt;"","04 - DECISION LOG row 54","")</f>
        <v/>
      </c>
      <c r="AK82">
        <f>IF(AND('04 - DECISION LOG'!A54&lt;&gt;"",OR('04 - DECISION LOG'!C54="Open",'04 - DECISION LOG'!C54="Deferred",AND('04 - DECISION LOG'!C54="Decided",'04 - DECISION LOG'!AG54=""),'04 - DECISION LOG'!G54&lt;&gt;""),OR(AC82&lt;&gt;"",AD82&lt;&gt;"")),IF(Y82="Critical",1,IF(Y82="Review",2,3))*100000000+IF(ISNUMBER(AF82),AF82,99999)*1000+ROW(),999999999999)</f>
        <v>999999999999</v>
      </c>
      <c r="AL82">
        <f t="shared" si="0"/>
        <v>999999999999</v>
      </c>
      <c r="AM82">
        <f t="shared" si="6"/>
        <v>999999999999</v>
      </c>
      <c r="AN82">
        <f t="shared" si="1"/>
        <v>999999999999</v>
      </c>
      <c r="AO82">
        <f t="shared" si="2"/>
        <v>999999999999</v>
      </c>
      <c r="AP82">
        <f>IF(AND(ISNUMBER(AK82),AND(OR('04 - DECISION LOG'!C54="Open",'04 - DECISION LOG'!C54="Deferred"),OR('04 - DECISION LOG'!O54="Sponsor",'04 - DECISION LOG'!O54="Steering"))),AK82,999999999999)</f>
        <v>999999999999</v>
      </c>
      <c r="AQ82">
        <f t="shared" si="7"/>
        <v>999999999999</v>
      </c>
      <c r="AR82">
        <f t="shared" si="5"/>
        <v>0</v>
      </c>
    </row>
    <row r="83" spans="25:44">
      <c r="Y83" t="str">
        <f>IF('04 - DECISION LOG'!A55&lt;&gt;"",IF('04 - DECISION LOG'!F55="","",'04 - DECISION LOG'!F55),"")</f>
        <v/>
      </c>
      <c r="Z83" t="str">
        <f>IF('04 - DECISION LOG'!A55&lt;&gt;"","Decisions","")</f>
        <v/>
      </c>
      <c r="AA83" t="str">
        <f>IF('04 - DECISION LOG'!A55&lt;&gt;"",IF('04 - DECISION LOG'!A55="","",'04 - DECISION LOG'!A55),"")</f>
        <v/>
      </c>
      <c r="AB83" t="str">
        <f>IF('04 - DECISION LOG'!A55&lt;&gt;"",IF('04 - DECISION LOG'!B55="","",'04 - DECISION LOG'!B55),"")</f>
        <v/>
      </c>
      <c r="AC83" t="str">
        <f>IF('04 - DECISION LOG'!A55&lt;&gt;"",IF('04 - DECISION LOG'!G55="","",'04 - DECISION LOG'!G55),"")</f>
        <v/>
      </c>
      <c r="AD83" t="str">
        <f>IF('04 - DECISION LOG'!A55&lt;&gt;"",IF('04 - DECISION LOG'!H55="","",'04 - DECISION LOG'!H55),"")</f>
        <v/>
      </c>
      <c r="AE83" t="str">
        <f>IF('04 - DECISION LOG'!A55&lt;&gt;"",IF('04 - DECISION LOG'!D55="","",'04 - DECISION LOG'!D55),"")</f>
        <v/>
      </c>
      <c r="AF83" s="17" t="str">
        <f>IF('04 - DECISION LOG'!A55&lt;&gt;"",IF('04 - DECISION LOG'!E55="","",'04 - DECISION LOG'!E55),"")</f>
        <v/>
      </c>
      <c r="AG83" t="str">
        <f>IF('04 - DECISION LOG'!A55&lt;&gt;"",IF('04 - DECISION LOG'!I55="","",'04 - DECISION LOG'!I55),"")</f>
        <v/>
      </c>
      <c r="AH83" t="str">
        <f>IF('04 - DECISION LOG'!A55&lt;&gt;"",IF('04 - DECISION LOG'!J55="","",'04 - DECISION LOG'!J55),"")</f>
        <v/>
      </c>
      <c r="AI83" t="str">
        <f>IF('04 - DECISION LOG'!A55&lt;&gt;"",IF('04 - DECISION LOG'!C55="","",'04 - DECISION LOG'!C55),"")</f>
        <v/>
      </c>
      <c r="AJ83" t="str">
        <f>IF('04 - DECISION LOG'!A55&lt;&gt;"","04 - DECISION LOG row 55","")</f>
        <v/>
      </c>
      <c r="AK83">
        <f>IF(AND('04 - DECISION LOG'!A55&lt;&gt;"",OR('04 - DECISION LOG'!C55="Open",'04 - DECISION LOG'!C55="Deferred",AND('04 - DECISION LOG'!C55="Decided",'04 - DECISION LOG'!AG55=""),'04 - DECISION LOG'!G55&lt;&gt;""),OR(AC83&lt;&gt;"",AD83&lt;&gt;"")),IF(Y83="Critical",1,IF(Y83="Review",2,3))*100000000+IF(ISNUMBER(AF83),AF83,99999)*1000+ROW(),999999999999)</f>
        <v>999999999999</v>
      </c>
      <c r="AL83">
        <f t="shared" si="0"/>
        <v>999999999999</v>
      </c>
      <c r="AM83">
        <f t="shared" si="6"/>
        <v>999999999999</v>
      </c>
      <c r="AN83">
        <f t="shared" si="1"/>
        <v>999999999999</v>
      </c>
      <c r="AO83">
        <f t="shared" si="2"/>
        <v>999999999999</v>
      </c>
      <c r="AP83">
        <f>IF(AND(ISNUMBER(AK83),AND(OR('04 - DECISION LOG'!C55="Open",'04 - DECISION LOG'!C55="Deferred"),OR('04 - DECISION LOG'!O55="Sponsor",'04 - DECISION LOG'!O55="Steering"))),AK83,999999999999)</f>
        <v>999999999999</v>
      </c>
      <c r="AQ83">
        <f t="shared" si="7"/>
        <v>999999999999</v>
      </c>
      <c r="AR83">
        <f t="shared" si="5"/>
        <v>0</v>
      </c>
    </row>
    <row r="84" spans="25:44">
      <c r="Y84" t="str">
        <f>IF('04 - DECISION LOG'!A56&lt;&gt;"",IF('04 - DECISION LOG'!F56="","",'04 - DECISION LOG'!F56),"")</f>
        <v/>
      </c>
      <c r="Z84" t="str">
        <f>IF('04 - DECISION LOG'!A56&lt;&gt;"","Decisions","")</f>
        <v/>
      </c>
      <c r="AA84" t="str">
        <f>IF('04 - DECISION LOG'!A56&lt;&gt;"",IF('04 - DECISION LOG'!A56="","",'04 - DECISION LOG'!A56),"")</f>
        <v/>
      </c>
      <c r="AB84" t="str">
        <f>IF('04 - DECISION LOG'!A56&lt;&gt;"",IF('04 - DECISION LOG'!B56="","",'04 - DECISION LOG'!B56),"")</f>
        <v/>
      </c>
      <c r="AC84" t="str">
        <f>IF('04 - DECISION LOG'!A56&lt;&gt;"",IF('04 - DECISION LOG'!G56="","",'04 - DECISION LOG'!G56),"")</f>
        <v/>
      </c>
      <c r="AD84" t="str">
        <f>IF('04 - DECISION LOG'!A56&lt;&gt;"",IF('04 - DECISION LOG'!H56="","",'04 - DECISION LOG'!H56),"")</f>
        <v/>
      </c>
      <c r="AE84" t="str">
        <f>IF('04 - DECISION LOG'!A56&lt;&gt;"",IF('04 - DECISION LOG'!D56="","",'04 - DECISION LOG'!D56),"")</f>
        <v/>
      </c>
      <c r="AF84" s="17" t="str">
        <f>IF('04 - DECISION LOG'!A56&lt;&gt;"",IF('04 - DECISION LOG'!E56="","",'04 - DECISION LOG'!E56),"")</f>
        <v/>
      </c>
      <c r="AG84" t="str">
        <f>IF('04 - DECISION LOG'!A56&lt;&gt;"",IF('04 - DECISION LOG'!I56="","",'04 - DECISION LOG'!I56),"")</f>
        <v/>
      </c>
      <c r="AH84" t="str">
        <f>IF('04 - DECISION LOG'!A56&lt;&gt;"",IF('04 - DECISION LOG'!J56="","",'04 - DECISION LOG'!J56),"")</f>
        <v/>
      </c>
      <c r="AI84" t="str">
        <f>IF('04 - DECISION LOG'!A56&lt;&gt;"",IF('04 - DECISION LOG'!C56="","",'04 - DECISION LOG'!C56),"")</f>
        <v/>
      </c>
      <c r="AJ84" t="str">
        <f>IF('04 - DECISION LOG'!A56&lt;&gt;"","04 - DECISION LOG row 56","")</f>
        <v/>
      </c>
      <c r="AK84">
        <f>IF(AND('04 - DECISION LOG'!A56&lt;&gt;"",OR('04 - DECISION LOG'!C56="Open",'04 - DECISION LOG'!C56="Deferred",AND('04 - DECISION LOG'!C56="Decided",'04 - DECISION LOG'!AG56=""),'04 - DECISION LOG'!G56&lt;&gt;""),OR(AC84&lt;&gt;"",AD84&lt;&gt;"")),IF(Y84="Critical",1,IF(Y84="Review",2,3))*100000000+IF(ISNUMBER(AF84),AF84,99999)*1000+ROW(),999999999999)</f>
        <v>999999999999</v>
      </c>
      <c r="AL84">
        <f t="shared" si="0"/>
        <v>999999999999</v>
      </c>
      <c r="AM84">
        <f t="shared" si="6"/>
        <v>999999999999</v>
      </c>
      <c r="AN84">
        <f t="shared" si="1"/>
        <v>999999999999</v>
      </c>
      <c r="AO84">
        <f t="shared" si="2"/>
        <v>999999999999</v>
      </c>
      <c r="AP84">
        <f>IF(AND(ISNUMBER(AK84),AND(OR('04 - DECISION LOG'!C56="Open",'04 - DECISION LOG'!C56="Deferred"),OR('04 - DECISION LOG'!O56="Sponsor",'04 - DECISION LOG'!O56="Steering"))),AK84,999999999999)</f>
        <v>999999999999</v>
      </c>
      <c r="AQ84">
        <f t="shared" si="7"/>
        <v>999999999999</v>
      </c>
      <c r="AR84">
        <f t="shared" si="5"/>
        <v>0</v>
      </c>
    </row>
    <row r="85" spans="25:44">
      <c r="Y85" t="str">
        <f>IF('04 - DECISION LOG'!A57&lt;&gt;"",IF('04 - DECISION LOG'!F57="","",'04 - DECISION LOG'!F57),"")</f>
        <v/>
      </c>
      <c r="Z85" t="str">
        <f>IF('04 - DECISION LOG'!A57&lt;&gt;"","Decisions","")</f>
        <v/>
      </c>
      <c r="AA85" t="str">
        <f>IF('04 - DECISION LOG'!A57&lt;&gt;"",IF('04 - DECISION LOG'!A57="","",'04 - DECISION LOG'!A57),"")</f>
        <v/>
      </c>
      <c r="AB85" t="str">
        <f>IF('04 - DECISION LOG'!A57&lt;&gt;"",IF('04 - DECISION LOG'!B57="","",'04 - DECISION LOG'!B57),"")</f>
        <v/>
      </c>
      <c r="AC85" t="str">
        <f>IF('04 - DECISION LOG'!A57&lt;&gt;"",IF('04 - DECISION LOG'!G57="","",'04 - DECISION LOG'!G57),"")</f>
        <v/>
      </c>
      <c r="AD85" t="str">
        <f>IF('04 - DECISION LOG'!A57&lt;&gt;"",IF('04 - DECISION LOG'!H57="","",'04 - DECISION LOG'!H57),"")</f>
        <v/>
      </c>
      <c r="AE85" t="str">
        <f>IF('04 - DECISION LOG'!A57&lt;&gt;"",IF('04 - DECISION LOG'!D57="","",'04 - DECISION LOG'!D57),"")</f>
        <v/>
      </c>
      <c r="AF85" s="17" t="str">
        <f>IF('04 - DECISION LOG'!A57&lt;&gt;"",IF('04 - DECISION LOG'!E57="","",'04 - DECISION LOG'!E57),"")</f>
        <v/>
      </c>
      <c r="AG85" t="str">
        <f>IF('04 - DECISION LOG'!A57&lt;&gt;"",IF('04 - DECISION LOG'!I57="","",'04 - DECISION LOG'!I57),"")</f>
        <v/>
      </c>
      <c r="AH85" t="str">
        <f>IF('04 - DECISION LOG'!A57&lt;&gt;"",IF('04 - DECISION LOG'!J57="","",'04 - DECISION LOG'!J57),"")</f>
        <v/>
      </c>
      <c r="AI85" t="str">
        <f>IF('04 - DECISION LOG'!A57&lt;&gt;"",IF('04 - DECISION LOG'!C57="","",'04 - DECISION LOG'!C57),"")</f>
        <v/>
      </c>
      <c r="AJ85" t="str">
        <f>IF('04 - DECISION LOG'!A57&lt;&gt;"","04 - DECISION LOG row 57","")</f>
        <v/>
      </c>
      <c r="AK85">
        <f>IF(AND('04 - DECISION LOG'!A57&lt;&gt;"",OR('04 - DECISION LOG'!C57="Open",'04 - DECISION LOG'!C57="Deferred",AND('04 - DECISION LOG'!C57="Decided",'04 - DECISION LOG'!AG57=""),'04 - DECISION LOG'!G57&lt;&gt;""),OR(AC85&lt;&gt;"",AD85&lt;&gt;"")),IF(Y85="Critical",1,IF(Y85="Review",2,3))*100000000+IF(ISNUMBER(AF85),AF85,99999)*1000+ROW(),999999999999)</f>
        <v>999999999999</v>
      </c>
      <c r="AL85">
        <f t="shared" si="0"/>
        <v>999999999999</v>
      </c>
      <c r="AM85">
        <f t="shared" si="6"/>
        <v>999999999999</v>
      </c>
      <c r="AN85">
        <f t="shared" si="1"/>
        <v>999999999999</v>
      </c>
      <c r="AO85">
        <f t="shared" si="2"/>
        <v>999999999999</v>
      </c>
      <c r="AP85">
        <f>IF(AND(ISNUMBER(AK85),AND(OR('04 - DECISION LOG'!C57="Open",'04 - DECISION LOG'!C57="Deferred"),OR('04 - DECISION LOG'!O57="Sponsor",'04 - DECISION LOG'!O57="Steering"))),AK85,999999999999)</f>
        <v>999999999999</v>
      </c>
      <c r="AQ85">
        <f t="shared" si="7"/>
        <v>999999999999</v>
      </c>
      <c r="AR85">
        <f t="shared" si="5"/>
        <v>0</v>
      </c>
    </row>
    <row r="86" spans="25:44">
      <c r="Y86" t="str">
        <f>IF('04 - DECISION LOG'!A58&lt;&gt;"",IF('04 - DECISION LOG'!F58="","",'04 - DECISION LOG'!F58),"")</f>
        <v/>
      </c>
      <c r="Z86" t="str">
        <f>IF('04 - DECISION LOG'!A58&lt;&gt;"","Decisions","")</f>
        <v/>
      </c>
      <c r="AA86" t="str">
        <f>IF('04 - DECISION LOG'!A58&lt;&gt;"",IF('04 - DECISION LOG'!A58="","",'04 - DECISION LOG'!A58),"")</f>
        <v/>
      </c>
      <c r="AB86" t="str">
        <f>IF('04 - DECISION LOG'!A58&lt;&gt;"",IF('04 - DECISION LOG'!B58="","",'04 - DECISION LOG'!B58),"")</f>
        <v/>
      </c>
      <c r="AC86" t="str">
        <f>IF('04 - DECISION LOG'!A58&lt;&gt;"",IF('04 - DECISION LOG'!G58="","",'04 - DECISION LOG'!G58),"")</f>
        <v/>
      </c>
      <c r="AD86" t="str">
        <f>IF('04 - DECISION LOG'!A58&lt;&gt;"",IF('04 - DECISION LOG'!H58="","",'04 - DECISION LOG'!H58),"")</f>
        <v/>
      </c>
      <c r="AE86" t="str">
        <f>IF('04 - DECISION LOG'!A58&lt;&gt;"",IF('04 - DECISION LOG'!D58="","",'04 - DECISION LOG'!D58),"")</f>
        <v/>
      </c>
      <c r="AF86" s="17" t="str">
        <f>IF('04 - DECISION LOG'!A58&lt;&gt;"",IF('04 - DECISION LOG'!E58="","",'04 - DECISION LOG'!E58),"")</f>
        <v/>
      </c>
      <c r="AG86" t="str">
        <f>IF('04 - DECISION LOG'!A58&lt;&gt;"",IF('04 - DECISION LOG'!I58="","",'04 - DECISION LOG'!I58),"")</f>
        <v/>
      </c>
      <c r="AH86" t="str">
        <f>IF('04 - DECISION LOG'!A58&lt;&gt;"",IF('04 - DECISION LOG'!J58="","",'04 - DECISION LOG'!J58),"")</f>
        <v/>
      </c>
      <c r="AI86" t="str">
        <f>IF('04 - DECISION LOG'!A58&lt;&gt;"",IF('04 - DECISION LOG'!C58="","",'04 - DECISION LOG'!C58),"")</f>
        <v/>
      </c>
      <c r="AJ86" t="str">
        <f>IF('04 - DECISION LOG'!A58&lt;&gt;"","04 - DECISION LOG row 58","")</f>
        <v/>
      </c>
      <c r="AK86">
        <f>IF(AND('04 - DECISION LOG'!A58&lt;&gt;"",OR('04 - DECISION LOG'!C58="Open",'04 - DECISION LOG'!C58="Deferred",AND('04 - DECISION LOG'!C58="Decided",'04 - DECISION LOG'!AG58=""),'04 - DECISION LOG'!G58&lt;&gt;""),OR(AC86&lt;&gt;"",AD86&lt;&gt;"")),IF(Y86="Critical",1,IF(Y86="Review",2,3))*100000000+IF(ISNUMBER(AF86),AF86,99999)*1000+ROW(),999999999999)</f>
        <v>999999999999</v>
      </c>
      <c r="AL86">
        <f t="shared" si="0"/>
        <v>999999999999</v>
      </c>
      <c r="AM86">
        <f t="shared" si="6"/>
        <v>999999999999</v>
      </c>
      <c r="AN86">
        <f t="shared" si="1"/>
        <v>999999999999</v>
      </c>
      <c r="AO86">
        <f t="shared" si="2"/>
        <v>999999999999</v>
      </c>
      <c r="AP86">
        <f>IF(AND(ISNUMBER(AK86),AND(OR('04 - DECISION LOG'!C58="Open",'04 - DECISION LOG'!C58="Deferred"),OR('04 - DECISION LOG'!O58="Sponsor",'04 - DECISION LOG'!O58="Steering"))),AK86,999999999999)</f>
        <v>999999999999</v>
      </c>
      <c r="AQ86">
        <f t="shared" si="7"/>
        <v>999999999999</v>
      </c>
      <c r="AR86">
        <f t="shared" si="5"/>
        <v>0</v>
      </c>
    </row>
    <row r="87" spans="25:44">
      <c r="Y87" t="str">
        <f>IF('05 - DEPENDENCIES'!A9&lt;&gt;"",IF('05 - DEPENDENCIES'!F9="","",'05 - DEPENDENCIES'!F9),"")</f>
        <v>Critical</v>
      </c>
      <c r="Z87" t="str">
        <f>IF('05 - DEPENDENCIES'!A9&lt;&gt;"","Dependencies","")</f>
        <v>Dependencies</v>
      </c>
      <c r="AA87" t="str">
        <f>IF('05 - DEPENDENCIES'!A9&lt;&gt;"",IF('05 - DEPENDENCIES'!A9="","",'05 - DEPENDENCIES'!A9),"")</f>
        <v>DEP-07</v>
      </c>
      <c r="AB87" t="str">
        <f>IF('05 - DEPENDENCIES'!A9&lt;&gt;"",IF('05 - DEPENDENCIES'!B9="","",'05 - DEPENDENCIES'!B9),"")</f>
        <v>Cloud pilot network connectivity</v>
      </c>
      <c r="AC87" t="str">
        <f>IF('05 - DEPENDENCIES'!A9&lt;&gt;"",IF('05 - DEPENDENCIES'!G9="","",'05 - DEPENDENCIES'!G9),"")</f>
        <v xml:space="preserve">REPEATED MISSED COMMITMENT LOW-CONFIDENCE FORECAST CONSUMER ACCEPTANCE MISSING </v>
      </c>
      <c r="AD87" t="str">
        <f>IF('05 - DEPENDENCIES'!A9&lt;&gt;"",IF('05 - DEPENDENCIES'!H9="","",'05 - DEPENDENCIES'!H9),"")</f>
        <v>Review eliminate / decouple options before accepting another forecast.</v>
      </c>
      <c r="AE87" t="str">
        <f>IF('05 - DEPENDENCIES'!A9&lt;&gt;"",IF('05 - DEPENDENCIES'!D9="","",'05 - DEPENDENCIES'!D9),"")</f>
        <v>Network owner</v>
      </c>
      <c r="AF87" s="17">
        <f>IF('05 - DEPENDENCIES'!A9&lt;&gt;"",IF('05 - DEPENDENCIES'!AE9="","",'05 - DEPENDENCIES'!AE9),"")</f>
        <v>46290</v>
      </c>
      <c r="AG87" t="str">
        <f>IF('05 - DEPENDENCIES'!A9&lt;&gt;"",IF('05 - DEPENDENCIES'!I9="","",'05 - DEPENDENCIES'!I9),"")</f>
        <v>Pilot production path cannot be accepted</v>
      </c>
      <c r="AH87" t="str">
        <f>IF('05 - DEPENDENCIES'!A9&lt;&gt;"",IF('05 - DEPENDENCIES'!J9="","",'05 - DEPENDENCIES'!J9),"")</f>
        <v>Consumer witnesses production-path test</v>
      </c>
      <c r="AI87" t="str">
        <f>IF('05 - DEPENDENCIES'!A9&lt;&gt;"",IF('05 - DEPENDENCIES'!AI9="","",'05 - DEPENDENCIES'!AI9),"")</f>
        <v>Unresolved</v>
      </c>
      <c r="AJ87" t="str">
        <f>IF('05 - DEPENDENCIES'!A9&lt;&gt;"","05 - DEPENDENCIES row 9","")</f>
        <v>05 - DEPENDENCIES row 9</v>
      </c>
      <c r="AK87">
        <f>IF(AND('05 - DEPENDENCIES'!A9&lt;&gt;"",'05 - DEPENDENCIES'!AI9="Unresolved",OR(AC87&lt;&gt;"",AD87&lt;&gt;"")),IF(Y87="Critical",1,IF(Y87="Review",2,3))*100000000+IF(ISNUMBER(AF87),AF87,99999)*1000+ROW(),999999999999)</f>
        <v>146290087</v>
      </c>
      <c r="AL87">
        <f t="shared" si="0"/>
        <v>146290087</v>
      </c>
      <c r="AM87">
        <f t="shared" si="6"/>
        <v>999999999999</v>
      </c>
      <c r="AN87">
        <f t="shared" si="1"/>
        <v>999999999999</v>
      </c>
      <c r="AO87">
        <f t="shared" si="2"/>
        <v>46290087</v>
      </c>
      <c r="AP87">
        <f t="shared" ref="AP87:AP150" si="8">IF(AND(ISNUMBER(AK87),FALSE),AK87,999999999999)</f>
        <v>999999999999</v>
      </c>
      <c r="AQ87">
        <f>IF(AND(ISNUMBER(AK87),Z87="Dependencies",OR('05 - DEPENDENCIES'!O9="Critical",'05 - DEPENDENCIES'!O9="High")),AK87,999999999999)</f>
        <v>146290087</v>
      </c>
      <c r="AR87">
        <f t="shared" si="5"/>
        <v>1</v>
      </c>
    </row>
    <row r="88" spans="25:44">
      <c r="Y88" t="str">
        <f>IF('05 - DEPENDENCIES'!A10&lt;&gt;"",IF('05 - DEPENDENCIES'!F10="","",'05 - DEPENDENCIES'!F10),"")</f>
        <v/>
      </c>
      <c r="Z88" t="str">
        <f>IF('05 - DEPENDENCIES'!A10&lt;&gt;"","Dependencies","")</f>
        <v/>
      </c>
      <c r="AA88" t="str">
        <f>IF('05 - DEPENDENCIES'!A10&lt;&gt;"",IF('05 - DEPENDENCIES'!A10="","",'05 - DEPENDENCIES'!A10),"")</f>
        <v/>
      </c>
      <c r="AB88" t="str">
        <f>IF('05 - DEPENDENCIES'!A10&lt;&gt;"",IF('05 - DEPENDENCIES'!B10="","",'05 - DEPENDENCIES'!B10),"")</f>
        <v/>
      </c>
      <c r="AC88" t="str">
        <f>IF('05 - DEPENDENCIES'!A10&lt;&gt;"",IF('05 - DEPENDENCIES'!G10="","",'05 - DEPENDENCIES'!G10),"")</f>
        <v/>
      </c>
      <c r="AD88" t="str">
        <f>IF('05 - DEPENDENCIES'!A10&lt;&gt;"",IF('05 - DEPENDENCIES'!H10="","",'05 - DEPENDENCIES'!H10),"")</f>
        <v/>
      </c>
      <c r="AE88" t="str">
        <f>IF('05 - DEPENDENCIES'!A10&lt;&gt;"",IF('05 - DEPENDENCIES'!D10="","",'05 - DEPENDENCIES'!D10),"")</f>
        <v/>
      </c>
      <c r="AF88" s="17" t="str">
        <f>IF('05 - DEPENDENCIES'!A10&lt;&gt;"",IF('05 - DEPENDENCIES'!AE10="","",'05 - DEPENDENCIES'!AE10),"")</f>
        <v/>
      </c>
      <c r="AG88" t="str">
        <f>IF('05 - DEPENDENCIES'!A10&lt;&gt;"",IF('05 - DEPENDENCIES'!I10="","",'05 - DEPENDENCIES'!I10),"")</f>
        <v/>
      </c>
      <c r="AH88" t="str">
        <f>IF('05 - DEPENDENCIES'!A10&lt;&gt;"",IF('05 - DEPENDENCIES'!J10="","",'05 - DEPENDENCIES'!J10),"")</f>
        <v/>
      </c>
      <c r="AI88" t="str">
        <f>IF('05 - DEPENDENCIES'!A10&lt;&gt;"",IF('05 - DEPENDENCIES'!AI10="","",'05 - DEPENDENCIES'!AI10),"")</f>
        <v/>
      </c>
      <c r="AJ88" t="str">
        <f>IF('05 - DEPENDENCIES'!A10&lt;&gt;"","05 - DEPENDENCIES row 10","")</f>
        <v/>
      </c>
      <c r="AK88">
        <f>IF(AND('05 - DEPENDENCIES'!A10&lt;&gt;"",'05 - DEPENDENCIES'!AI10="Unresolved",OR(AC88&lt;&gt;"",AD88&lt;&gt;"")),IF(Y88="Critical",1,IF(Y88="Review",2,3))*100000000+IF(ISNUMBER(AF88),AF88,99999)*1000+ROW(),999999999999)</f>
        <v>999999999999</v>
      </c>
      <c r="AL88">
        <f t="shared" si="0"/>
        <v>999999999999</v>
      </c>
      <c r="AM88">
        <f t="shared" si="6"/>
        <v>999999999999</v>
      </c>
      <c r="AN88">
        <f t="shared" si="1"/>
        <v>999999999999</v>
      </c>
      <c r="AO88">
        <f t="shared" si="2"/>
        <v>999999999999</v>
      </c>
      <c r="AP88">
        <f t="shared" si="8"/>
        <v>999999999999</v>
      </c>
      <c r="AQ88">
        <f>IF(AND(ISNUMBER(AK88),Z88="Dependencies",OR('05 - DEPENDENCIES'!O10="Critical",'05 - DEPENDENCIES'!O10="High")),AK88,999999999999)</f>
        <v>999999999999</v>
      </c>
      <c r="AR88">
        <f t="shared" si="5"/>
        <v>0</v>
      </c>
    </row>
    <row r="89" spans="25:44">
      <c r="Y89" t="str">
        <f>IF('05 - DEPENDENCIES'!A11&lt;&gt;"",IF('05 - DEPENDENCIES'!F11="","",'05 - DEPENDENCIES'!F11),"")</f>
        <v/>
      </c>
      <c r="Z89" t="str">
        <f>IF('05 - DEPENDENCIES'!A11&lt;&gt;"","Dependencies","")</f>
        <v/>
      </c>
      <c r="AA89" t="str">
        <f>IF('05 - DEPENDENCIES'!A11&lt;&gt;"",IF('05 - DEPENDENCIES'!A11="","",'05 - DEPENDENCIES'!A11),"")</f>
        <v/>
      </c>
      <c r="AB89" t="str">
        <f>IF('05 - DEPENDENCIES'!A11&lt;&gt;"",IF('05 - DEPENDENCIES'!B11="","",'05 - DEPENDENCIES'!B11),"")</f>
        <v/>
      </c>
      <c r="AC89" t="str">
        <f>IF('05 - DEPENDENCIES'!A11&lt;&gt;"",IF('05 - DEPENDENCIES'!G11="","",'05 - DEPENDENCIES'!G11),"")</f>
        <v/>
      </c>
      <c r="AD89" t="str">
        <f>IF('05 - DEPENDENCIES'!A11&lt;&gt;"",IF('05 - DEPENDENCIES'!H11="","",'05 - DEPENDENCIES'!H11),"")</f>
        <v/>
      </c>
      <c r="AE89" t="str">
        <f>IF('05 - DEPENDENCIES'!A11&lt;&gt;"",IF('05 - DEPENDENCIES'!D11="","",'05 - DEPENDENCIES'!D11),"")</f>
        <v/>
      </c>
      <c r="AF89" s="17" t="str">
        <f>IF('05 - DEPENDENCIES'!A11&lt;&gt;"",IF('05 - DEPENDENCIES'!AE11="","",'05 - DEPENDENCIES'!AE11),"")</f>
        <v/>
      </c>
      <c r="AG89" t="str">
        <f>IF('05 - DEPENDENCIES'!A11&lt;&gt;"",IF('05 - DEPENDENCIES'!I11="","",'05 - DEPENDENCIES'!I11),"")</f>
        <v/>
      </c>
      <c r="AH89" t="str">
        <f>IF('05 - DEPENDENCIES'!A11&lt;&gt;"",IF('05 - DEPENDENCIES'!J11="","",'05 - DEPENDENCIES'!J11),"")</f>
        <v/>
      </c>
      <c r="AI89" t="str">
        <f>IF('05 - DEPENDENCIES'!A11&lt;&gt;"",IF('05 - DEPENDENCIES'!AI11="","",'05 - DEPENDENCIES'!AI11),"")</f>
        <v/>
      </c>
      <c r="AJ89" t="str">
        <f>IF('05 - DEPENDENCIES'!A11&lt;&gt;"","05 - DEPENDENCIES row 11","")</f>
        <v/>
      </c>
      <c r="AK89">
        <f>IF(AND('05 - DEPENDENCIES'!A11&lt;&gt;"",'05 - DEPENDENCIES'!AI11="Unresolved",OR(AC89&lt;&gt;"",AD89&lt;&gt;"")),IF(Y89="Critical",1,IF(Y89="Review",2,3))*100000000+IF(ISNUMBER(AF89),AF89,99999)*1000+ROW(),999999999999)</f>
        <v>999999999999</v>
      </c>
      <c r="AL89">
        <f t="shared" si="0"/>
        <v>999999999999</v>
      </c>
      <c r="AM89">
        <f t="shared" si="6"/>
        <v>999999999999</v>
      </c>
      <c r="AN89">
        <f t="shared" si="1"/>
        <v>999999999999</v>
      </c>
      <c r="AO89">
        <f t="shared" si="2"/>
        <v>999999999999</v>
      </c>
      <c r="AP89">
        <f t="shared" si="8"/>
        <v>999999999999</v>
      </c>
      <c r="AQ89">
        <f>IF(AND(ISNUMBER(AK89),Z89="Dependencies",OR('05 - DEPENDENCIES'!O11="Critical",'05 - DEPENDENCIES'!O11="High")),AK89,999999999999)</f>
        <v>999999999999</v>
      </c>
      <c r="AR89">
        <f t="shared" si="5"/>
        <v>0</v>
      </c>
    </row>
    <row r="90" spans="25:44">
      <c r="Y90" t="str">
        <f>IF('05 - DEPENDENCIES'!A12&lt;&gt;"",IF('05 - DEPENDENCIES'!F12="","",'05 - DEPENDENCIES'!F12),"")</f>
        <v/>
      </c>
      <c r="Z90" t="str">
        <f>IF('05 - DEPENDENCIES'!A12&lt;&gt;"","Dependencies","")</f>
        <v/>
      </c>
      <c r="AA90" t="str">
        <f>IF('05 - DEPENDENCIES'!A12&lt;&gt;"",IF('05 - DEPENDENCIES'!A12="","",'05 - DEPENDENCIES'!A12),"")</f>
        <v/>
      </c>
      <c r="AB90" t="str">
        <f>IF('05 - DEPENDENCIES'!A12&lt;&gt;"",IF('05 - DEPENDENCIES'!B12="","",'05 - DEPENDENCIES'!B12),"")</f>
        <v/>
      </c>
      <c r="AC90" t="str">
        <f>IF('05 - DEPENDENCIES'!A12&lt;&gt;"",IF('05 - DEPENDENCIES'!G12="","",'05 - DEPENDENCIES'!G12),"")</f>
        <v/>
      </c>
      <c r="AD90" t="str">
        <f>IF('05 - DEPENDENCIES'!A12&lt;&gt;"",IF('05 - DEPENDENCIES'!H12="","",'05 - DEPENDENCIES'!H12),"")</f>
        <v/>
      </c>
      <c r="AE90" t="str">
        <f>IF('05 - DEPENDENCIES'!A12&lt;&gt;"",IF('05 - DEPENDENCIES'!D12="","",'05 - DEPENDENCIES'!D12),"")</f>
        <v/>
      </c>
      <c r="AF90" s="17" t="str">
        <f>IF('05 - DEPENDENCIES'!A12&lt;&gt;"",IF('05 - DEPENDENCIES'!AE12="","",'05 - DEPENDENCIES'!AE12),"")</f>
        <v/>
      </c>
      <c r="AG90" t="str">
        <f>IF('05 - DEPENDENCIES'!A12&lt;&gt;"",IF('05 - DEPENDENCIES'!I12="","",'05 - DEPENDENCIES'!I12),"")</f>
        <v/>
      </c>
      <c r="AH90" t="str">
        <f>IF('05 - DEPENDENCIES'!A12&lt;&gt;"",IF('05 - DEPENDENCIES'!J12="","",'05 - DEPENDENCIES'!J12),"")</f>
        <v/>
      </c>
      <c r="AI90" t="str">
        <f>IF('05 - DEPENDENCIES'!A12&lt;&gt;"",IF('05 - DEPENDENCIES'!AI12="","",'05 - DEPENDENCIES'!AI12),"")</f>
        <v/>
      </c>
      <c r="AJ90" t="str">
        <f>IF('05 - DEPENDENCIES'!A12&lt;&gt;"","05 - DEPENDENCIES row 12","")</f>
        <v/>
      </c>
      <c r="AK90">
        <f>IF(AND('05 - DEPENDENCIES'!A12&lt;&gt;"",'05 - DEPENDENCIES'!AI12="Unresolved",OR(AC90&lt;&gt;"",AD90&lt;&gt;"")),IF(Y90="Critical",1,IF(Y90="Review",2,3))*100000000+IF(ISNUMBER(AF90),AF90,99999)*1000+ROW(),999999999999)</f>
        <v>999999999999</v>
      </c>
      <c r="AL90">
        <f t="shared" si="0"/>
        <v>999999999999</v>
      </c>
      <c r="AM90">
        <f t="shared" si="6"/>
        <v>999999999999</v>
      </c>
      <c r="AN90">
        <f t="shared" si="1"/>
        <v>999999999999</v>
      </c>
      <c r="AO90">
        <f t="shared" si="2"/>
        <v>999999999999</v>
      </c>
      <c r="AP90">
        <f t="shared" si="8"/>
        <v>999999999999</v>
      </c>
      <c r="AQ90">
        <f>IF(AND(ISNUMBER(AK90),Z90="Dependencies",OR('05 - DEPENDENCIES'!O12="Critical",'05 - DEPENDENCIES'!O12="High")),AK90,999999999999)</f>
        <v>999999999999</v>
      </c>
      <c r="AR90">
        <f t="shared" si="5"/>
        <v>0</v>
      </c>
    </row>
    <row r="91" spans="25:44">
      <c r="Y91" t="str">
        <f>IF('05 - DEPENDENCIES'!A13&lt;&gt;"",IF('05 - DEPENDENCIES'!F13="","",'05 - DEPENDENCIES'!F13),"")</f>
        <v/>
      </c>
      <c r="Z91" t="str">
        <f>IF('05 - DEPENDENCIES'!A13&lt;&gt;"","Dependencies","")</f>
        <v/>
      </c>
      <c r="AA91" t="str">
        <f>IF('05 - DEPENDENCIES'!A13&lt;&gt;"",IF('05 - DEPENDENCIES'!A13="","",'05 - DEPENDENCIES'!A13),"")</f>
        <v/>
      </c>
      <c r="AB91" t="str">
        <f>IF('05 - DEPENDENCIES'!A13&lt;&gt;"",IF('05 - DEPENDENCIES'!B13="","",'05 - DEPENDENCIES'!B13),"")</f>
        <v/>
      </c>
      <c r="AC91" t="str">
        <f>IF('05 - DEPENDENCIES'!A13&lt;&gt;"",IF('05 - DEPENDENCIES'!G13="","",'05 - DEPENDENCIES'!G13),"")</f>
        <v/>
      </c>
      <c r="AD91" t="str">
        <f>IF('05 - DEPENDENCIES'!A13&lt;&gt;"",IF('05 - DEPENDENCIES'!H13="","",'05 - DEPENDENCIES'!H13),"")</f>
        <v/>
      </c>
      <c r="AE91" t="str">
        <f>IF('05 - DEPENDENCIES'!A13&lt;&gt;"",IF('05 - DEPENDENCIES'!D13="","",'05 - DEPENDENCIES'!D13),"")</f>
        <v/>
      </c>
      <c r="AF91" s="17" t="str">
        <f>IF('05 - DEPENDENCIES'!A13&lt;&gt;"",IF('05 - DEPENDENCIES'!AE13="","",'05 - DEPENDENCIES'!AE13),"")</f>
        <v/>
      </c>
      <c r="AG91" t="str">
        <f>IF('05 - DEPENDENCIES'!A13&lt;&gt;"",IF('05 - DEPENDENCIES'!I13="","",'05 - DEPENDENCIES'!I13),"")</f>
        <v/>
      </c>
      <c r="AH91" t="str">
        <f>IF('05 - DEPENDENCIES'!A13&lt;&gt;"",IF('05 - DEPENDENCIES'!J13="","",'05 - DEPENDENCIES'!J13),"")</f>
        <v/>
      </c>
      <c r="AI91" t="str">
        <f>IF('05 - DEPENDENCIES'!A13&lt;&gt;"",IF('05 - DEPENDENCIES'!AI13="","",'05 - DEPENDENCIES'!AI13),"")</f>
        <v/>
      </c>
      <c r="AJ91" t="str">
        <f>IF('05 - DEPENDENCIES'!A13&lt;&gt;"","05 - DEPENDENCIES row 13","")</f>
        <v/>
      </c>
      <c r="AK91">
        <f>IF(AND('05 - DEPENDENCIES'!A13&lt;&gt;"",'05 - DEPENDENCIES'!AI13="Unresolved",OR(AC91&lt;&gt;"",AD91&lt;&gt;"")),IF(Y91="Critical",1,IF(Y91="Review",2,3))*100000000+IF(ISNUMBER(AF91),AF91,99999)*1000+ROW(),999999999999)</f>
        <v>999999999999</v>
      </c>
      <c r="AL91">
        <f t="shared" si="0"/>
        <v>999999999999</v>
      </c>
      <c r="AM91">
        <f t="shared" si="6"/>
        <v>999999999999</v>
      </c>
      <c r="AN91">
        <f t="shared" si="1"/>
        <v>999999999999</v>
      </c>
      <c r="AO91">
        <f t="shared" si="2"/>
        <v>999999999999</v>
      </c>
      <c r="AP91">
        <f t="shared" si="8"/>
        <v>999999999999</v>
      </c>
      <c r="AQ91">
        <f>IF(AND(ISNUMBER(AK91),Z91="Dependencies",OR('05 - DEPENDENCIES'!O13="Critical",'05 - DEPENDENCIES'!O13="High")),AK91,999999999999)</f>
        <v>999999999999</v>
      </c>
      <c r="AR91">
        <f t="shared" si="5"/>
        <v>0</v>
      </c>
    </row>
    <row r="92" spans="25:44">
      <c r="Y92" t="str">
        <f>IF('05 - DEPENDENCIES'!A14&lt;&gt;"",IF('05 - DEPENDENCIES'!F14="","",'05 - DEPENDENCIES'!F14),"")</f>
        <v/>
      </c>
      <c r="Z92" t="str">
        <f>IF('05 - DEPENDENCIES'!A14&lt;&gt;"","Dependencies","")</f>
        <v/>
      </c>
      <c r="AA92" t="str">
        <f>IF('05 - DEPENDENCIES'!A14&lt;&gt;"",IF('05 - DEPENDENCIES'!A14="","",'05 - DEPENDENCIES'!A14),"")</f>
        <v/>
      </c>
      <c r="AB92" t="str">
        <f>IF('05 - DEPENDENCIES'!A14&lt;&gt;"",IF('05 - DEPENDENCIES'!B14="","",'05 - DEPENDENCIES'!B14),"")</f>
        <v/>
      </c>
      <c r="AC92" t="str">
        <f>IF('05 - DEPENDENCIES'!A14&lt;&gt;"",IF('05 - DEPENDENCIES'!G14="","",'05 - DEPENDENCIES'!G14),"")</f>
        <v/>
      </c>
      <c r="AD92" t="str">
        <f>IF('05 - DEPENDENCIES'!A14&lt;&gt;"",IF('05 - DEPENDENCIES'!H14="","",'05 - DEPENDENCIES'!H14),"")</f>
        <v/>
      </c>
      <c r="AE92" t="str">
        <f>IF('05 - DEPENDENCIES'!A14&lt;&gt;"",IF('05 - DEPENDENCIES'!D14="","",'05 - DEPENDENCIES'!D14),"")</f>
        <v/>
      </c>
      <c r="AF92" s="17" t="str">
        <f>IF('05 - DEPENDENCIES'!A14&lt;&gt;"",IF('05 - DEPENDENCIES'!AE14="","",'05 - DEPENDENCIES'!AE14),"")</f>
        <v/>
      </c>
      <c r="AG92" t="str">
        <f>IF('05 - DEPENDENCIES'!A14&lt;&gt;"",IF('05 - DEPENDENCIES'!I14="","",'05 - DEPENDENCIES'!I14),"")</f>
        <v/>
      </c>
      <c r="AH92" t="str">
        <f>IF('05 - DEPENDENCIES'!A14&lt;&gt;"",IF('05 - DEPENDENCIES'!J14="","",'05 - DEPENDENCIES'!J14),"")</f>
        <v/>
      </c>
      <c r="AI92" t="str">
        <f>IF('05 - DEPENDENCIES'!A14&lt;&gt;"",IF('05 - DEPENDENCIES'!AI14="","",'05 - DEPENDENCIES'!AI14),"")</f>
        <v/>
      </c>
      <c r="AJ92" t="str">
        <f>IF('05 - DEPENDENCIES'!A14&lt;&gt;"","05 - DEPENDENCIES row 14","")</f>
        <v/>
      </c>
      <c r="AK92">
        <f>IF(AND('05 - DEPENDENCIES'!A14&lt;&gt;"",'05 - DEPENDENCIES'!AI14="Unresolved",OR(AC92&lt;&gt;"",AD92&lt;&gt;"")),IF(Y92="Critical",1,IF(Y92="Review",2,3))*100000000+IF(ISNUMBER(AF92),AF92,99999)*1000+ROW(),999999999999)</f>
        <v>999999999999</v>
      </c>
      <c r="AL92">
        <f t="shared" si="0"/>
        <v>999999999999</v>
      </c>
      <c r="AM92">
        <f t="shared" si="6"/>
        <v>999999999999</v>
      </c>
      <c r="AN92">
        <f t="shared" si="1"/>
        <v>999999999999</v>
      </c>
      <c r="AO92">
        <f t="shared" si="2"/>
        <v>999999999999</v>
      </c>
      <c r="AP92">
        <f t="shared" si="8"/>
        <v>999999999999</v>
      </c>
      <c r="AQ92">
        <f>IF(AND(ISNUMBER(AK92),Z92="Dependencies",OR('05 - DEPENDENCIES'!O14="Critical",'05 - DEPENDENCIES'!O14="High")),AK92,999999999999)</f>
        <v>999999999999</v>
      </c>
      <c r="AR92">
        <f t="shared" si="5"/>
        <v>0</v>
      </c>
    </row>
    <row r="93" spans="25:44">
      <c r="Y93" t="str">
        <f>IF('05 - DEPENDENCIES'!A15&lt;&gt;"",IF('05 - DEPENDENCIES'!F15="","",'05 - DEPENDENCIES'!F15),"")</f>
        <v/>
      </c>
      <c r="Z93" t="str">
        <f>IF('05 - DEPENDENCIES'!A15&lt;&gt;"","Dependencies","")</f>
        <v/>
      </c>
      <c r="AA93" t="str">
        <f>IF('05 - DEPENDENCIES'!A15&lt;&gt;"",IF('05 - DEPENDENCIES'!A15="","",'05 - DEPENDENCIES'!A15),"")</f>
        <v/>
      </c>
      <c r="AB93" t="str">
        <f>IF('05 - DEPENDENCIES'!A15&lt;&gt;"",IF('05 - DEPENDENCIES'!B15="","",'05 - DEPENDENCIES'!B15),"")</f>
        <v/>
      </c>
      <c r="AC93" t="str">
        <f>IF('05 - DEPENDENCIES'!A15&lt;&gt;"",IF('05 - DEPENDENCIES'!G15="","",'05 - DEPENDENCIES'!G15),"")</f>
        <v/>
      </c>
      <c r="AD93" t="str">
        <f>IF('05 - DEPENDENCIES'!A15&lt;&gt;"",IF('05 - DEPENDENCIES'!H15="","",'05 - DEPENDENCIES'!H15),"")</f>
        <v/>
      </c>
      <c r="AE93" t="str">
        <f>IF('05 - DEPENDENCIES'!A15&lt;&gt;"",IF('05 - DEPENDENCIES'!D15="","",'05 - DEPENDENCIES'!D15),"")</f>
        <v/>
      </c>
      <c r="AF93" s="17" t="str">
        <f>IF('05 - DEPENDENCIES'!A15&lt;&gt;"",IF('05 - DEPENDENCIES'!AE15="","",'05 - DEPENDENCIES'!AE15),"")</f>
        <v/>
      </c>
      <c r="AG93" t="str">
        <f>IF('05 - DEPENDENCIES'!A15&lt;&gt;"",IF('05 - DEPENDENCIES'!I15="","",'05 - DEPENDENCIES'!I15),"")</f>
        <v/>
      </c>
      <c r="AH93" t="str">
        <f>IF('05 - DEPENDENCIES'!A15&lt;&gt;"",IF('05 - DEPENDENCIES'!J15="","",'05 - DEPENDENCIES'!J15),"")</f>
        <v/>
      </c>
      <c r="AI93" t="str">
        <f>IF('05 - DEPENDENCIES'!A15&lt;&gt;"",IF('05 - DEPENDENCIES'!AI15="","",'05 - DEPENDENCIES'!AI15),"")</f>
        <v/>
      </c>
      <c r="AJ93" t="str">
        <f>IF('05 - DEPENDENCIES'!A15&lt;&gt;"","05 - DEPENDENCIES row 15","")</f>
        <v/>
      </c>
      <c r="AK93">
        <f>IF(AND('05 - DEPENDENCIES'!A15&lt;&gt;"",'05 - DEPENDENCIES'!AI15="Unresolved",OR(AC93&lt;&gt;"",AD93&lt;&gt;"")),IF(Y93="Critical",1,IF(Y93="Review",2,3))*100000000+IF(ISNUMBER(AF93),AF93,99999)*1000+ROW(),999999999999)</f>
        <v>999999999999</v>
      </c>
      <c r="AL93">
        <f t="shared" si="0"/>
        <v>999999999999</v>
      </c>
      <c r="AM93">
        <f t="shared" si="6"/>
        <v>999999999999</v>
      </c>
      <c r="AN93">
        <f t="shared" si="1"/>
        <v>999999999999</v>
      </c>
      <c r="AO93">
        <f t="shared" si="2"/>
        <v>999999999999</v>
      </c>
      <c r="AP93">
        <f t="shared" si="8"/>
        <v>999999999999</v>
      </c>
      <c r="AQ93">
        <f>IF(AND(ISNUMBER(AK93),Z93="Dependencies",OR('05 - DEPENDENCIES'!O15="Critical",'05 - DEPENDENCIES'!O15="High")),AK93,999999999999)</f>
        <v>999999999999</v>
      </c>
      <c r="AR93">
        <f t="shared" si="5"/>
        <v>0</v>
      </c>
    </row>
    <row r="94" spans="25:44">
      <c r="Y94" t="str">
        <f>IF('05 - DEPENDENCIES'!A16&lt;&gt;"",IF('05 - DEPENDENCIES'!F16="","",'05 - DEPENDENCIES'!F16),"")</f>
        <v/>
      </c>
      <c r="Z94" t="str">
        <f>IF('05 - DEPENDENCIES'!A16&lt;&gt;"","Dependencies","")</f>
        <v/>
      </c>
      <c r="AA94" t="str">
        <f>IF('05 - DEPENDENCIES'!A16&lt;&gt;"",IF('05 - DEPENDENCIES'!A16="","",'05 - DEPENDENCIES'!A16),"")</f>
        <v/>
      </c>
      <c r="AB94" t="str">
        <f>IF('05 - DEPENDENCIES'!A16&lt;&gt;"",IF('05 - DEPENDENCIES'!B16="","",'05 - DEPENDENCIES'!B16),"")</f>
        <v/>
      </c>
      <c r="AC94" t="str">
        <f>IF('05 - DEPENDENCIES'!A16&lt;&gt;"",IF('05 - DEPENDENCIES'!G16="","",'05 - DEPENDENCIES'!G16),"")</f>
        <v/>
      </c>
      <c r="AD94" t="str">
        <f>IF('05 - DEPENDENCIES'!A16&lt;&gt;"",IF('05 - DEPENDENCIES'!H16="","",'05 - DEPENDENCIES'!H16),"")</f>
        <v/>
      </c>
      <c r="AE94" t="str">
        <f>IF('05 - DEPENDENCIES'!A16&lt;&gt;"",IF('05 - DEPENDENCIES'!D16="","",'05 - DEPENDENCIES'!D16),"")</f>
        <v/>
      </c>
      <c r="AF94" s="17" t="str">
        <f>IF('05 - DEPENDENCIES'!A16&lt;&gt;"",IF('05 - DEPENDENCIES'!AE16="","",'05 - DEPENDENCIES'!AE16),"")</f>
        <v/>
      </c>
      <c r="AG94" t="str">
        <f>IF('05 - DEPENDENCIES'!A16&lt;&gt;"",IF('05 - DEPENDENCIES'!I16="","",'05 - DEPENDENCIES'!I16),"")</f>
        <v/>
      </c>
      <c r="AH94" t="str">
        <f>IF('05 - DEPENDENCIES'!A16&lt;&gt;"",IF('05 - DEPENDENCIES'!J16="","",'05 - DEPENDENCIES'!J16),"")</f>
        <v/>
      </c>
      <c r="AI94" t="str">
        <f>IF('05 - DEPENDENCIES'!A16&lt;&gt;"",IF('05 - DEPENDENCIES'!AI16="","",'05 - DEPENDENCIES'!AI16),"")</f>
        <v/>
      </c>
      <c r="AJ94" t="str">
        <f>IF('05 - DEPENDENCIES'!A16&lt;&gt;"","05 - DEPENDENCIES row 16","")</f>
        <v/>
      </c>
      <c r="AK94">
        <f>IF(AND('05 - DEPENDENCIES'!A16&lt;&gt;"",'05 - DEPENDENCIES'!AI16="Unresolved",OR(AC94&lt;&gt;"",AD94&lt;&gt;"")),IF(Y94="Critical",1,IF(Y94="Review",2,3))*100000000+IF(ISNUMBER(AF94),AF94,99999)*1000+ROW(),999999999999)</f>
        <v>999999999999</v>
      </c>
      <c r="AL94">
        <f t="shared" ref="AL94:AL157" si="9">IF(AND(ISNUMBER(AK94),Y94="Critical"),AK94,999999999999)</f>
        <v>999999999999</v>
      </c>
      <c r="AM94">
        <f t="shared" si="6"/>
        <v>999999999999</v>
      </c>
      <c r="AN94">
        <f t="shared" ref="AN94:AN157" si="10">IF(AND(ISNUMBER(AK94),FALSE),AK94,999999999999)</f>
        <v>999999999999</v>
      </c>
      <c r="AO94">
        <f t="shared" ref="AO94:AO157" si="11">IF(AND(ISNUMBER(AK94),ISNUMBER(AF94),AF94&gt;=ReviewDate,AF94&lt;=ReviewDate+Upcoming),AF94*1000+ROW(),999999999999)</f>
        <v>999999999999</v>
      </c>
      <c r="AP94">
        <f t="shared" si="8"/>
        <v>999999999999</v>
      </c>
      <c r="AQ94">
        <f>IF(AND(ISNUMBER(AK94),Z94="Dependencies",OR('05 - DEPENDENCIES'!O16="Critical",'05 - DEPENDENCIES'!O16="High")),AK94,999999999999)</f>
        <v>999999999999</v>
      </c>
      <c r="AR94">
        <f t="shared" ref="AR94:AR157" si="12">IF(AC94&lt;&gt;"",1,0)</f>
        <v>0</v>
      </c>
    </row>
    <row r="95" spans="25:44">
      <c r="Y95" t="str">
        <f>IF('05 - DEPENDENCIES'!A17&lt;&gt;"",IF('05 - DEPENDENCIES'!F17="","",'05 - DEPENDENCIES'!F17),"")</f>
        <v/>
      </c>
      <c r="Z95" t="str">
        <f>IF('05 - DEPENDENCIES'!A17&lt;&gt;"","Dependencies","")</f>
        <v/>
      </c>
      <c r="AA95" t="str">
        <f>IF('05 - DEPENDENCIES'!A17&lt;&gt;"",IF('05 - DEPENDENCIES'!A17="","",'05 - DEPENDENCIES'!A17),"")</f>
        <v/>
      </c>
      <c r="AB95" t="str">
        <f>IF('05 - DEPENDENCIES'!A17&lt;&gt;"",IF('05 - DEPENDENCIES'!B17="","",'05 - DEPENDENCIES'!B17),"")</f>
        <v/>
      </c>
      <c r="AC95" t="str">
        <f>IF('05 - DEPENDENCIES'!A17&lt;&gt;"",IF('05 - DEPENDENCIES'!G17="","",'05 - DEPENDENCIES'!G17),"")</f>
        <v/>
      </c>
      <c r="AD95" t="str">
        <f>IF('05 - DEPENDENCIES'!A17&lt;&gt;"",IF('05 - DEPENDENCIES'!H17="","",'05 - DEPENDENCIES'!H17),"")</f>
        <v/>
      </c>
      <c r="AE95" t="str">
        <f>IF('05 - DEPENDENCIES'!A17&lt;&gt;"",IF('05 - DEPENDENCIES'!D17="","",'05 - DEPENDENCIES'!D17),"")</f>
        <v/>
      </c>
      <c r="AF95" s="17" t="str">
        <f>IF('05 - DEPENDENCIES'!A17&lt;&gt;"",IF('05 - DEPENDENCIES'!AE17="","",'05 - DEPENDENCIES'!AE17),"")</f>
        <v/>
      </c>
      <c r="AG95" t="str">
        <f>IF('05 - DEPENDENCIES'!A17&lt;&gt;"",IF('05 - DEPENDENCIES'!I17="","",'05 - DEPENDENCIES'!I17),"")</f>
        <v/>
      </c>
      <c r="AH95" t="str">
        <f>IF('05 - DEPENDENCIES'!A17&lt;&gt;"",IF('05 - DEPENDENCIES'!J17="","",'05 - DEPENDENCIES'!J17),"")</f>
        <v/>
      </c>
      <c r="AI95" t="str">
        <f>IF('05 - DEPENDENCIES'!A17&lt;&gt;"",IF('05 - DEPENDENCIES'!AI17="","",'05 - DEPENDENCIES'!AI17),"")</f>
        <v/>
      </c>
      <c r="AJ95" t="str">
        <f>IF('05 - DEPENDENCIES'!A17&lt;&gt;"","05 - DEPENDENCIES row 17","")</f>
        <v/>
      </c>
      <c r="AK95">
        <f>IF(AND('05 - DEPENDENCIES'!A17&lt;&gt;"",'05 - DEPENDENCIES'!AI17="Unresolved",OR(AC95&lt;&gt;"",AD95&lt;&gt;"")),IF(Y95="Critical",1,IF(Y95="Review",2,3))*100000000+IF(ISNUMBER(AF95),AF95,99999)*1000+ROW(),999999999999)</f>
        <v>999999999999</v>
      </c>
      <c r="AL95">
        <f t="shared" si="9"/>
        <v>999999999999</v>
      </c>
      <c r="AM95">
        <f t="shared" si="6"/>
        <v>999999999999</v>
      </c>
      <c r="AN95">
        <f t="shared" si="10"/>
        <v>999999999999</v>
      </c>
      <c r="AO95">
        <f t="shared" si="11"/>
        <v>999999999999</v>
      </c>
      <c r="AP95">
        <f t="shared" si="8"/>
        <v>999999999999</v>
      </c>
      <c r="AQ95">
        <f>IF(AND(ISNUMBER(AK95),Z95="Dependencies",OR('05 - DEPENDENCIES'!O17="Critical",'05 - DEPENDENCIES'!O17="High")),AK95,999999999999)</f>
        <v>999999999999</v>
      </c>
      <c r="AR95">
        <f t="shared" si="12"/>
        <v>0</v>
      </c>
    </row>
    <row r="96" spans="25:44">
      <c r="Y96" t="str">
        <f>IF('05 - DEPENDENCIES'!A18&lt;&gt;"",IF('05 - DEPENDENCIES'!F18="","",'05 - DEPENDENCIES'!F18),"")</f>
        <v/>
      </c>
      <c r="Z96" t="str">
        <f>IF('05 - DEPENDENCIES'!A18&lt;&gt;"","Dependencies","")</f>
        <v/>
      </c>
      <c r="AA96" t="str">
        <f>IF('05 - DEPENDENCIES'!A18&lt;&gt;"",IF('05 - DEPENDENCIES'!A18="","",'05 - DEPENDENCIES'!A18),"")</f>
        <v/>
      </c>
      <c r="AB96" t="str">
        <f>IF('05 - DEPENDENCIES'!A18&lt;&gt;"",IF('05 - DEPENDENCIES'!B18="","",'05 - DEPENDENCIES'!B18),"")</f>
        <v/>
      </c>
      <c r="AC96" t="str">
        <f>IF('05 - DEPENDENCIES'!A18&lt;&gt;"",IF('05 - DEPENDENCIES'!G18="","",'05 - DEPENDENCIES'!G18),"")</f>
        <v/>
      </c>
      <c r="AD96" t="str">
        <f>IF('05 - DEPENDENCIES'!A18&lt;&gt;"",IF('05 - DEPENDENCIES'!H18="","",'05 - DEPENDENCIES'!H18),"")</f>
        <v/>
      </c>
      <c r="AE96" t="str">
        <f>IF('05 - DEPENDENCIES'!A18&lt;&gt;"",IF('05 - DEPENDENCIES'!D18="","",'05 - DEPENDENCIES'!D18),"")</f>
        <v/>
      </c>
      <c r="AF96" s="17" t="str">
        <f>IF('05 - DEPENDENCIES'!A18&lt;&gt;"",IF('05 - DEPENDENCIES'!AE18="","",'05 - DEPENDENCIES'!AE18),"")</f>
        <v/>
      </c>
      <c r="AG96" t="str">
        <f>IF('05 - DEPENDENCIES'!A18&lt;&gt;"",IF('05 - DEPENDENCIES'!I18="","",'05 - DEPENDENCIES'!I18),"")</f>
        <v/>
      </c>
      <c r="AH96" t="str">
        <f>IF('05 - DEPENDENCIES'!A18&lt;&gt;"",IF('05 - DEPENDENCIES'!J18="","",'05 - DEPENDENCIES'!J18),"")</f>
        <v/>
      </c>
      <c r="AI96" t="str">
        <f>IF('05 - DEPENDENCIES'!A18&lt;&gt;"",IF('05 - DEPENDENCIES'!AI18="","",'05 - DEPENDENCIES'!AI18),"")</f>
        <v/>
      </c>
      <c r="AJ96" t="str">
        <f>IF('05 - DEPENDENCIES'!A18&lt;&gt;"","05 - DEPENDENCIES row 18","")</f>
        <v/>
      </c>
      <c r="AK96">
        <f>IF(AND('05 - DEPENDENCIES'!A18&lt;&gt;"",'05 - DEPENDENCIES'!AI18="Unresolved",OR(AC96&lt;&gt;"",AD96&lt;&gt;"")),IF(Y96="Critical",1,IF(Y96="Review",2,3))*100000000+IF(ISNUMBER(AF96),AF96,99999)*1000+ROW(),999999999999)</f>
        <v>999999999999</v>
      </c>
      <c r="AL96">
        <f t="shared" si="9"/>
        <v>999999999999</v>
      </c>
      <c r="AM96">
        <f t="shared" si="6"/>
        <v>999999999999</v>
      </c>
      <c r="AN96">
        <f t="shared" si="10"/>
        <v>999999999999</v>
      </c>
      <c r="AO96">
        <f t="shared" si="11"/>
        <v>999999999999</v>
      </c>
      <c r="AP96">
        <f t="shared" si="8"/>
        <v>999999999999</v>
      </c>
      <c r="AQ96">
        <f>IF(AND(ISNUMBER(AK96),Z96="Dependencies",OR('05 - DEPENDENCIES'!O18="Critical",'05 - DEPENDENCIES'!O18="High")),AK96,999999999999)</f>
        <v>999999999999</v>
      </c>
      <c r="AR96">
        <f t="shared" si="12"/>
        <v>0</v>
      </c>
    </row>
    <row r="97" spans="25:44">
      <c r="Y97" t="str">
        <f>IF('05 - DEPENDENCIES'!A19&lt;&gt;"",IF('05 - DEPENDENCIES'!F19="","",'05 - DEPENDENCIES'!F19),"")</f>
        <v/>
      </c>
      <c r="Z97" t="str">
        <f>IF('05 - DEPENDENCIES'!A19&lt;&gt;"","Dependencies","")</f>
        <v/>
      </c>
      <c r="AA97" t="str">
        <f>IF('05 - DEPENDENCIES'!A19&lt;&gt;"",IF('05 - DEPENDENCIES'!A19="","",'05 - DEPENDENCIES'!A19),"")</f>
        <v/>
      </c>
      <c r="AB97" t="str">
        <f>IF('05 - DEPENDENCIES'!A19&lt;&gt;"",IF('05 - DEPENDENCIES'!B19="","",'05 - DEPENDENCIES'!B19),"")</f>
        <v/>
      </c>
      <c r="AC97" t="str">
        <f>IF('05 - DEPENDENCIES'!A19&lt;&gt;"",IF('05 - DEPENDENCIES'!G19="","",'05 - DEPENDENCIES'!G19),"")</f>
        <v/>
      </c>
      <c r="AD97" t="str">
        <f>IF('05 - DEPENDENCIES'!A19&lt;&gt;"",IF('05 - DEPENDENCIES'!H19="","",'05 - DEPENDENCIES'!H19),"")</f>
        <v/>
      </c>
      <c r="AE97" t="str">
        <f>IF('05 - DEPENDENCIES'!A19&lt;&gt;"",IF('05 - DEPENDENCIES'!D19="","",'05 - DEPENDENCIES'!D19),"")</f>
        <v/>
      </c>
      <c r="AF97" s="17" t="str">
        <f>IF('05 - DEPENDENCIES'!A19&lt;&gt;"",IF('05 - DEPENDENCIES'!AE19="","",'05 - DEPENDENCIES'!AE19),"")</f>
        <v/>
      </c>
      <c r="AG97" t="str">
        <f>IF('05 - DEPENDENCIES'!A19&lt;&gt;"",IF('05 - DEPENDENCIES'!I19="","",'05 - DEPENDENCIES'!I19),"")</f>
        <v/>
      </c>
      <c r="AH97" t="str">
        <f>IF('05 - DEPENDENCIES'!A19&lt;&gt;"",IF('05 - DEPENDENCIES'!J19="","",'05 - DEPENDENCIES'!J19),"")</f>
        <v/>
      </c>
      <c r="AI97" t="str">
        <f>IF('05 - DEPENDENCIES'!A19&lt;&gt;"",IF('05 - DEPENDENCIES'!AI19="","",'05 - DEPENDENCIES'!AI19),"")</f>
        <v/>
      </c>
      <c r="AJ97" t="str">
        <f>IF('05 - DEPENDENCIES'!A19&lt;&gt;"","05 - DEPENDENCIES row 19","")</f>
        <v/>
      </c>
      <c r="AK97">
        <f>IF(AND('05 - DEPENDENCIES'!A19&lt;&gt;"",'05 - DEPENDENCIES'!AI19="Unresolved",OR(AC97&lt;&gt;"",AD97&lt;&gt;"")),IF(Y97="Critical",1,IF(Y97="Review",2,3))*100000000+IF(ISNUMBER(AF97),AF97,99999)*1000+ROW(),999999999999)</f>
        <v>999999999999</v>
      </c>
      <c r="AL97">
        <f t="shared" si="9"/>
        <v>999999999999</v>
      </c>
      <c r="AM97">
        <f t="shared" si="6"/>
        <v>999999999999</v>
      </c>
      <c r="AN97">
        <f t="shared" si="10"/>
        <v>999999999999</v>
      </c>
      <c r="AO97">
        <f t="shared" si="11"/>
        <v>999999999999</v>
      </c>
      <c r="AP97">
        <f t="shared" si="8"/>
        <v>999999999999</v>
      </c>
      <c r="AQ97">
        <f>IF(AND(ISNUMBER(AK97),Z97="Dependencies",OR('05 - DEPENDENCIES'!O19="Critical",'05 - DEPENDENCIES'!O19="High")),AK97,999999999999)</f>
        <v>999999999999</v>
      </c>
      <c r="AR97">
        <f t="shared" si="12"/>
        <v>0</v>
      </c>
    </row>
    <row r="98" spans="25:44">
      <c r="Y98" t="str">
        <f>IF('05 - DEPENDENCIES'!A20&lt;&gt;"",IF('05 - DEPENDENCIES'!F20="","",'05 - DEPENDENCIES'!F20),"")</f>
        <v/>
      </c>
      <c r="Z98" t="str">
        <f>IF('05 - DEPENDENCIES'!A20&lt;&gt;"","Dependencies","")</f>
        <v/>
      </c>
      <c r="AA98" t="str">
        <f>IF('05 - DEPENDENCIES'!A20&lt;&gt;"",IF('05 - DEPENDENCIES'!A20="","",'05 - DEPENDENCIES'!A20),"")</f>
        <v/>
      </c>
      <c r="AB98" t="str">
        <f>IF('05 - DEPENDENCIES'!A20&lt;&gt;"",IF('05 - DEPENDENCIES'!B20="","",'05 - DEPENDENCIES'!B20),"")</f>
        <v/>
      </c>
      <c r="AC98" t="str">
        <f>IF('05 - DEPENDENCIES'!A20&lt;&gt;"",IF('05 - DEPENDENCIES'!G20="","",'05 - DEPENDENCIES'!G20),"")</f>
        <v/>
      </c>
      <c r="AD98" t="str">
        <f>IF('05 - DEPENDENCIES'!A20&lt;&gt;"",IF('05 - DEPENDENCIES'!H20="","",'05 - DEPENDENCIES'!H20),"")</f>
        <v/>
      </c>
      <c r="AE98" t="str">
        <f>IF('05 - DEPENDENCIES'!A20&lt;&gt;"",IF('05 - DEPENDENCIES'!D20="","",'05 - DEPENDENCIES'!D20),"")</f>
        <v/>
      </c>
      <c r="AF98" s="17" t="str">
        <f>IF('05 - DEPENDENCIES'!A20&lt;&gt;"",IF('05 - DEPENDENCIES'!AE20="","",'05 - DEPENDENCIES'!AE20),"")</f>
        <v/>
      </c>
      <c r="AG98" t="str">
        <f>IF('05 - DEPENDENCIES'!A20&lt;&gt;"",IF('05 - DEPENDENCIES'!I20="","",'05 - DEPENDENCIES'!I20),"")</f>
        <v/>
      </c>
      <c r="AH98" t="str">
        <f>IF('05 - DEPENDENCIES'!A20&lt;&gt;"",IF('05 - DEPENDENCIES'!J20="","",'05 - DEPENDENCIES'!J20),"")</f>
        <v/>
      </c>
      <c r="AI98" t="str">
        <f>IF('05 - DEPENDENCIES'!A20&lt;&gt;"",IF('05 - DEPENDENCIES'!AI20="","",'05 - DEPENDENCIES'!AI20),"")</f>
        <v/>
      </c>
      <c r="AJ98" t="str">
        <f>IF('05 - DEPENDENCIES'!A20&lt;&gt;"","05 - DEPENDENCIES row 20","")</f>
        <v/>
      </c>
      <c r="AK98">
        <f>IF(AND('05 - DEPENDENCIES'!A20&lt;&gt;"",'05 - DEPENDENCIES'!AI20="Unresolved",OR(AC98&lt;&gt;"",AD98&lt;&gt;"")),IF(Y98="Critical",1,IF(Y98="Review",2,3))*100000000+IF(ISNUMBER(AF98),AF98,99999)*1000+ROW(),999999999999)</f>
        <v>999999999999</v>
      </c>
      <c r="AL98">
        <f t="shared" si="9"/>
        <v>999999999999</v>
      </c>
      <c r="AM98">
        <f t="shared" si="6"/>
        <v>999999999999</v>
      </c>
      <c r="AN98">
        <f t="shared" si="10"/>
        <v>999999999999</v>
      </c>
      <c r="AO98">
        <f t="shared" si="11"/>
        <v>999999999999</v>
      </c>
      <c r="AP98">
        <f t="shared" si="8"/>
        <v>999999999999</v>
      </c>
      <c r="AQ98">
        <f>IF(AND(ISNUMBER(AK98),Z98="Dependencies",OR('05 - DEPENDENCIES'!O20="Critical",'05 - DEPENDENCIES'!O20="High")),AK98,999999999999)</f>
        <v>999999999999</v>
      </c>
      <c r="AR98">
        <f t="shared" si="12"/>
        <v>0</v>
      </c>
    </row>
    <row r="99" spans="25:44">
      <c r="Y99" t="str">
        <f>IF('05 - DEPENDENCIES'!A21&lt;&gt;"",IF('05 - DEPENDENCIES'!F21="","",'05 - DEPENDENCIES'!F21),"")</f>
        <v/>
      </c>
      <c r="Z99" t="str">
        <f>IF('05 - DEPENDENCIES'!A21&lt;&gt;"","Dependencies","")</f>
        <v/>
      </c>
      <c r="AA99" t="str">
        <f>IF('05 - DEPENDENCIES'!A21&lt;&gt;"",IF('05 - DEPENDENCIES'!A21="","",'05 - DEPENDENCIES'!A21),"")</f>
        <v/>
      </c>
      <c r="AB99" t="str">
        <f>IF('05 - DEPENDENCIES'!A21&lt;&gt;"",IF('05 - DEPENDENCIES'!B21="","",'05 - DEPENDENCIES'!B21),"")</f>
        <v/>
      </c>
      <c r="AC99" t="str">
        <f>IF('05 - DEPENDENCIES'!A21&lt;&gt;"",IF('05 - DEPENDENCIES'!G21="","",'05 - DEPENDENCIES'!G21),"")</f>
        <v/>
      </c>
      <c r="AD99" t="str">
        <f>IF('05 - DEPENDENCIES'!A21&lt;&gt;"",IF('05 - DEPENDENCIES'!H21="","",'05 - DEPENDENCIES'!H21),"")</f>
        <v/>
      </c>
      <c r="AE99" t="str">
        <f>IF('05 - DEPENDENCIES'!A21&lt;&gt;"",IF('05 - DEPENDENCIES'!D21="","",'05 - DEPENDENCIES'!D21),"")</f>
        <v/>
      </c>
      <c r="AF99" s="17" t="str">
        <f>IF('05 - DEPENDENCIES'!A21&lt;&gt;"",IF('05 - DEPENDENCIES'!AE21="","",'05 - DEPENDENCIES'!AE21),"")</f>
        <v/>
      </c>
      <c r="AG99" t="str">
        <f>IF('05 - DEPENDENCIES'!A21&lt;&gt;"",IF('05 - DEPENDENCIES'!I21="","",'05 - DEPENDENCIES'!I21),"")</f>
        <v/>
      </c>
      <c r="AH99" t="str">
        <f>IF('05 - DEPENDENCIES'!A21&lt;&gt;"",IF('05 - DEPENDENCIES'!J21="","",'05 - DEPENDENCIES'!J21),"")</f>
        <v/>
      </c>
      <c r="AI99" t="str">
        <f>IF('05 - DEPENDENCIES'!A21&lt;&gt;"",IF('05 - DEPENDENCIES'!AI21="","",'05 - DEPENDENCIES'!AI21),"")</f>
        <v/>
      </c>
      <c r="AJ99" t="str">
        <f>IF('05 - DEPENDENCIES'!A21&lt;&gt;"","05 - DEPENDENCIES row 21","")</f>
        <v/>
      </c>
      <c r="AK99">
        <f>IF(AND('05 - DEPENDENCIES'!A21&lt;&gt;"",'05 - DEPENDENCIES'!AI21="Unresolved",OR(AC99&lt;&gt;"",AD99&lt;&gt;"")),IF(Y99="Critical",1,IF(Y99="Review",2,3))*100000000+IF(ISNUMBER(AF99),AF99,99999)*1000+ROW(),999999999999)</f>
        <v>999999999999</v>
      </c>
      <c r="AL99">
        <f t="shared" si="9"/>
        <v>999999999999</v>
      </c>
      <c r="AM99">
        <f t="shared" si="6"/>
        <v>999999999999</v>
      </c>
      <c r="AN99">
        <f t="shared" si="10"/>
        <v>999999999999</v>
      </c>
      <c r="AO99">
        <f t="shared" si="11"/>
        <v>999999999999</v>
      </c>
      <c r="AP99">
        <f t="shared" si="8"/>
        <v>999999999999</v>
      </c>
      <c r="AQ99">
        <f>IF(AND(ISNUMBER(AK99),Z99="Dependencies",OR('05 - DEPENDENCIES'!O21="Critical",'05 - DEPENDENCIES'!O21="High")),AK99,999999999999)</f>
        <v>999999999999</v>
      </c>
      <c r="AR99">
        <f t="shared" si="12"/>
        <v>0</v>
      </c>
    </row>
    <row r="100" spans="25:44">
      <c r="Y100" t="str">
        <f>IF('05 - DEPENDENCIES'!A22&lt;&gt;"",IF('05 - DEPENDENCIES'!F22="","",'05 - DEPENDENCIES'!F22),"")</f>
        <v/>
      </c>
      <c r="Z100" t="str">
        <f>IF('05 - DEPENDENCIES'!A22&lt;&gt;"","Dependencies","")</f>
        <v/>
      </c>
      <c r="AA100" t="str">
        <f>IF('05 - DEPENDENCIES'!A22&lt;&gt;"",IF('05 - DEPENDENCIES'!A22="","",'05 - DEPENDENCIES'!A22),"")</f>
        <v/>
      </c>
      <c r="AB100" t="str">
        <f>IF('05 - DEPENDENCIES'!A22&lt;&gt;"",IF('05 - DEPENDENCIES'!B22="","",'05 - DEPENDENCIES'!B22),"")</f>
        <v/>
      </c>
      <c r="AC100" t="str">
        <f>IF('05 - DEPENDENCIES'!A22&lt;&gt;"",IF('05 - DEPENDENCIES'!G22="","",'05 - DEPENDENCIES'!G22),"")</f>
        <v/>
      </c>
      <c r="AD100" t="str">
        <f>IF('05 - DEPENDENCIES'!A22&lt;&gt;"",IF('05 - DEPENDENCIES'!H22="","",'05 - DEPENDENCIES'!H22),"")</f>
        <v/>
      </c>
      <c r="AE100" t="str">
        <f>IF('05 - DEPENDENCIES'!A22&lt;&gt;"",IF('05 - DEPENDENCIES'!D22="","",'05 - DEPENDENCIES'!D22),"")</f>
        <v/>
      </c>
      <c r="AF100" s="17" t="str">
        <f>IF('05 - DEPENDENCIES'!A22&lt;&gt;"",IF('05 - DEPENDENCIES'!AE22="","",'05 - DEPENDENCIES'!AE22),"")</f>
        <v/>
      </c>
      <c r="AG100" t="str">
        <f>IF('05 - DEPENDENCIES'!A22&lt;&gt;"",IF('05 - DEPENDENCIES'!I22="","",'05 - DEPENDENCIES'!I22),"")</f>
        <v/>
      </c>
      <c r="AH100" t="str">
        <f>IF('05 - DEPENDENCIES'!A22&lt;&gt;"",IF('05 - DEPENDENCIES'!J22="","",'05 - DEPENDENCIES'!J22),"")</f>
        <v/>
      </c>
      <c r="AI100" t="str">
        <f>IF('05 - DEPENDENCIES'!A22&lt;&gt;"",IF('05 - DEPENDENCIES'!AI22="","",'05 - DEPENDENCIES'!AI22),"")</f>
        <v/>
      </c>
      <c r="AJ100" t="str">
        <f>IF('05 - DEPENDENCIES'!A22&lt;&gt;"","05 - DEPENDENCIES row 22","")</f>
        <v/>
      </c>
      <c r="AK100">
        <f>IF(AND('05 - DEPENDENCIES'!A22&lt;&gt;"",'05 - DEPENDENCIES'!AI22="Unresolved",OR(AC100&lt;&gt;"",AD100&lt;&gt;"")),IF(Y100="Critical",1,IF(Y100="Review",2,3))*100000000+IF(ISNUMBER(AF100),AF100,99999)*1000+ROW(),999999999999)</f>
        <v>999999999999</v>
      </c>
      <c r="AL100">
        <f t="shared" si="9"/>
        <v>999999999999</v>
      </c>
      <c r="AM100">
        <f t="shared" si="6"/>
        <v>999999999999</v>
      </c>
      <c r="AN100">
        <f t="shared" si="10"/>
        <v>999999999999</v>
      </c>
      <c r="AO100">
        <f t="shared" si="11"/>
        <v>999999999999</v>
      </c>
      <c r="AP100">
        <f t="shared" si="8"/>
        <v>999999999999</v>
      </c>
      <c r="AQ100">
        <f>IF(AND(ISNUMBER(AK100),Z100="Dependencies",OR('05 - DEPENDENCIES'!O22="Critical",'05 - DEPENDENCIES'!O22="High")),AK100,999999999999)</f>
        <v>999999999999</v>
      </c>
      <c r="AR100">
        <f t="shared" si="12"/>
        <v>0</v>
      </c>
    </row>
    <row r="101" spans="25:44">
      <c r="Y101" t="str">
        <f>IF('05 - DEPENDENCIES'!A23&lt;&gt;"",IF('05 - DEPENDENCIES'!F23="","",'05 - DEPENDENCIES'!F23),"")</f>
        <v/>
      </c>
      <c r="Z101" t="str">
        <f>IF('05 - DEPENDENCIES'!A23&lt;&gt;"","Dependencies","")</f>
        <v/>
      </c>
      <c r="AA101" t="str">
        <f>IF('05 - DEPENDENCIES'!A23&lt;&gt;"",IF('05 - DEPENDENCIES'!A23="","",'05 - DEPENDENCIES'!A23),"")</f>
        <v/>
      </c>
      <c r="AB101" t="str">
        <f>IF('05 - DEPENDENCIES'!A23&lt;&gt;"",IF('05 - DEPENDENCIES'!B23="","",'05 - DEPENDENCIES'!B23),"")</f>
        <v/>
      </c>
      <c r="AC101" t="str">
        <f>IF('05 - DEPENDENCIES'!A23&lt;&gt;"",IF('05 - DEPENDENCIES'!G23="","",'05 - DEPENDENCIES'!G23),"")</f>
        <v/>
      </c>
      <c r="AD101" t="str">
        <f>IF('05 - DEPENDENCIES'!A23&lt;&gt;"",IF('05 - DEPENDENCIES'!H23="","",'05 - DEPENDENCIES'!H23),"")</f>
        <v/>
      </c>
      <c r="AE101" t="str">
        <f>IF('05 - DEPENDENCIES'!A23&lt;&gt;"",IF('05 - DEPENDENCIES'!D23="","",'05 - DEPENDENCIES'!D23),"")</f>
        <v/>
      </c>
      <c r="AF101" s="17" t="str">
        <f>IF('05 - DEPENDENCIES'!A23&lt;&gt;"",IF('05 - DEPENDENCIES'!AE23="","",'05 - DEPENDENCIES'!AE23),"")</f>
        <v/>
      </c>
      <c r="AG101" t="str">
        <f>IF('05 - DEPENDENCIES'!A23&lt;&gt;"",IF('05 - DEPENDENCIES'!I23="","",'05 - DEPENDENCIES'!I23),"")</f>
        <v/>
      </c>
      <c r="AH101" t="str">
        <f>IF('05 - DEPENDENCIES'!A23&lt;&gt;"",IF('05 - DEPENDENCIES'!J23="","",'05 - DEPENDENCIES'!J23),"")</f>
        <v/>
      </c>
      <c r="AI101" t="str">
        <f>IF('05 - DEPENDENCIES'!A23&lt;&gt;"",IF('05 - DEPENDENCIES'!AI23="","",'05 - DEPENDENCIES'!AI23),"")</f>
        <v/>
      </c>
      <c r="AJ101" t="str">
        <f>IF('05 - DEPENDENCIES'!A23&lt;&gt;"","05 - DEPENDENCIES row 23","")</f>
        <v/>
      </c>
      <c r="AK101">
        <f>IF(AND('05 - DEPENDENCIES'!A23&lt;&gt;"",'05 - DEPENDENCIES'!AI23="Unresolved",OR(AC101&lt;&gt;"",AD101&lt;&gt;"")),IF(Y101="Critical",1,IF(Y101="Review",2,3))*100000000+IF(ISNUMBER(AF101),AF101,99999)*1000+ROW(),999999999999)</f>
        <v>999999999999</v>
      </c>
      <c r="AL101">
        <f t="shared" si="9"/>
        <v>999999999999</v>
      </c>
      <c r="AM101">
        <f t="shared" ref="AM101:AM164" si="13">IF(AND(ISNUMBER(AK101),OR(Z101="Assurance",AND(Z101="Adoption",AC101&lt;&gt;""),FALSE)),AK101,999999999999)</f>
        <v>999999999999</v>
      </c>
      <c r="AN101">
        <f t="shared" si="10"/>
        <v>999999999999</v>
      </c>
      <c r="AO101">
        <f t="shared" si="11"/>
        <v>999999999999</v>
      </c>
      <c r="AP101">
        <f t="shared" si="8"/>
        <v>999999999999</v>
      </c>
      <c r="AQ101">
        <f>IF(AND(ISNUMBER(AK101),Z101="Dependencies",OR('05 - DEPENDENCIES'!O23="Critical",'05 - DEPENDENCIES'!O23="High")),AK101,999999999999)</f>
        <v>999999999999</v>
      </c>
      <c r="AR101">
        <f t="shared" si="12"/>
        <v>0</v>
      </c>
    </row>
    <row r="102" spans="25:44">
      <c r="Y102" t="str">
        <f>IF('05 - DEPENDENCIES'!A24&lt;&gt;"",IF('05 - DEPENDENCIES'!F24="","",'05 - DEPENDENCIES'!F24),"")</f>
        <v/>
      </c>
      <c r="Z102" t="str">
        <f>IF('05 - DEPENDENCIES'!A24&lt;&gt;"","Dependencies","")</f>
        <v/>
      </c>
      <c r="AA102" t="str">
        <f>IF('05 - DEPENDENCIES'!A24&lt;&gt;"",IF('05 - DEPENDENCIES'!A24="","",'05 - DEPENDENCIES'!A24),"")</f>
        <v/>
      </c>
      <c r="AB102" t="str">
        <f>IF('05 - DEPENDENCIES'!A24&lt;&gt;"",IF('05 - DEPENDENCIES'!B24="","",'05 - DEPENDENCIES'!B24),"")</f>
        <v/>
      </c>
      <c r="AC102" t="str">
        <f>IF('05 - DEPENDENCIES'!A24&lt;&gt;"",IF('05 - DEPENDENCIES'!G24="","",'05 - DEPENDENCIES'!G24),"")</f>
        <v/>
      </c>
      <c r="AD102" t="str">
        <f>IF('05 - DEPENDENCIES'!A24&lt;&gt;"",IF('05 - DEPENDENCIES'!H24="","",'05 - DEPENDENCIES'!H24),"")</f>
        <v/>
      </c>
      <c r="AE102" t="str">
        <f>IF('05 - DEPENDENCIES'!A24&lt;&gt;"",IF('05 - DEPENDENCIES'!D24="","",'05 - DEPENDENCIES'!D24),"")</f>
        <v/>
      </c>
      <c r="AF102" s="17" t="str">
        <f>IF('05 - DEPENDENCIES'!A24&lt;&gt;"",IF('05 - DEPENDENCIES'!AE24="","",'05 - DEPENDENCIES'!AE24),"")</f>
        <v/>
      </c>
      <c r="AG102" t="str">
        <f>IF('05 - DEPENDENCIES'!A24&lt;&gt;"",IF('05 - DEPENDENCIES'!I24="","",'05 - DEPENDENCIES'!I24),"")</f>
        <v/>
      </c>
      <c r="AH102" t="str">
        <f>IF('05 - DEPENDENCIES'!A24&lt;&gt;"",IF('05 - DEPENDENCIES'!J24="","",'05 - DEPENDENCIES'!J24),"")</f>
        <v/>
      </c>
      <c r="AI102" t="str">
        <f>IF('05 - DEPENDENCIES'!A24&lt;&gt;"",IF('05 - DEPENDENCIES'!AI24="","",'05 - DEPENDENCIES'!AI24),"")</f>
        <v/>
      </c>
      <c r="AJ102" t="str">
        <f>IF('05 - DEPENDENCIES'!A24&lt;&gt;"","05 - DEPENDENCIES row 24","")</f>
        <v/>
      </c>
      <c r="AK102">
        <f>IF(AND('05 - DEPENDENCIES'!A24&lt;&gt;"",'05 - DEPENDENCIES'!AI24="Unresolved",OR(AC102&lt;&gt;"",AD102&lt;&gt;"")),IF(Y102="Critical",1,IF(Y102="Review",2,3))*100000000+IF(ISNUMBER(AF102),AF102,99999)*1000+ROW(),999999999999)</f>
        <v>999999999999</v>
      </c>
      <c r="AL102">
        <f t="shared" si="9"/>
        <v>999999999999</v>
      </c>
      <c r="AM102">
        <f t="shared" si="13"/>
        <v>999999999999</v>
      </c>
      <c r="AN102">
        <f t="shared" si="10"/>
        <v>999999999999</v>
      </c>
      <c r="AO102">
        <f t="shared" si="11"/>
        <v>999999999999</v>
      </c>
      <c r="AP102">
        <f t="shared" si="8"/>
        <v>999999999999</v>
      </c>
      <c r="AQ102">
        <f>IF(AND(ISNUMBER(AK102),Z102="Dependencies",OR('05 - DEPENDENCIES'!O24="Critical",'05 - DEPENDENCIES'!O24="High")),AK102,999999999999)</f>
        <v>999999999999</v>
      </c>
      <c r="AR102">
        <f t="shared" si="12"/>
        <v>0</v>
      </c>
    </row>
    <row r="103" spans="25:44">
      <c r="Y103" t="str">
        <f>IF('05 - DEPENDENCIES'!A25&lt;&gt;"",IF('05 - DEPENDENCIES'!F25="","",'05 - DEPENDENCIES'!F25),"")</f>
        <v/>
      </c>
      <c r="Z103" t="str">
        <f>IF('05 - DEPENDENCIES'!A25&lt;&gt;"","Dependencies","")</f>
        <v/>
      </c>
      <c r="AA103" t="str">
        <f>IF('05 - DEPENDENCIES'!A25&lt;&gt;"",IF('05 - DEPENDENCIES'!A25="","",'05 - DEPENDENCIES'!A25),"")</f>
        <v/>
      </c>
      <c r="AB103" t="str">
        <f>IF('05 - DEPENDENCIES'!A25&lt;&gt;"",IF('05 - DEPENDENCIES'!B25="","",'05 - DEPENDENCIES'!B25),"")</f>
        <v/>
      </c>
      <c r="AC103" t="str">
        <f>IF('05 - DEPENDENCIES'!A25&lt;&gt;"",IF('05 - DEPENDENCIES'!G25="","",'05 - DEPENDENCIES'!G25),"")</f>
        <v/>
      </c>
      <c r="AD103" t="str">
        <f>IF('05 - DEPENDENCIES'!A25&lt;&gt;"",IF('05 - DEPENDENCIES'!H25="","",'05 - DEPENDENCIES'!H25),"")</f>
        <v/>
      </c>
      <c r="AE103" t="str">
        <f>IF('05 - DEPENDENCIES'!A25&lt;&gt;"",IF('05 - DEPENDENCIES'!D25="","",'05 - DEPENDENCIES'!D25),"")</f>
        <v/>
      </c>
      <c r="AF103" s="17" t="str">
        <f>IF('05 - DEPENDENCIES'!A25&lt;&gt;"",IF('05 - DEPENDENCIES'!AE25="","",'05 - DEPENDENCIES'!AE25),"")</f>
        <v/>
      </c>
      <c r="AG103" t="str">
        <f>IF('05 - DEPENDENCIES'!A25&lt;&gt;"",IF('05 - DEPENDENCIES'!I25="","",'05 - DEPENDENCIES'!I25),"")</f>
        <v/>
      </c>
      <c r="AH103" t="str">
        <f>IF('05 - DEPENDENCIES'!A25&lt;&gt;"",IF('05 - DEPENDENCIES'!J25="","",'05 - DEPENDENCIES'!J25),"")</f>
        <v/>
      </c>
      <c r="AI103" t="str">
        <f>IF('05 - DEPENDENCIES'!A25&lt;&gt;"",IF('05 - DEPENDENCIES'!AI25="","",'05 - DEPENDENCIES'!AI25),"")</f>
        <v/>
      </c>
      <c r="AJ103" t="str">
        <f>IF('05 - DEPENDENCIES'!A25&lt;&gt;"","05 - DEPENDENCIES row 25","")</f>
        <v/>
      </c>
      <c r="AK103">
        <f>IF(AND('05 - DEPENDENCIES'!A25&lt;&gt;"",'05 - DEPENDENCIES'!AI25="Unresolved",OR(AC103&lt;&gt;"",AD103&lt;&gt;"")),IF(Y103="Critical",1,IF(Y103="Review",2,3))*100000000+IF(ISNUMBER(AF103),AF103,99999)*1000+ROW(),999999999999)</f>
        <v>999999999999</v>
      </c>
      <c r="AL103">
        <f t="shared" si="9"/>
        <v>999999999999</v>
      </c>
      <c r="AM103">
        <f t="shared" si="13"/>
        <v>999999999999</v>
      </c>
      <c r="AN103">
        <f t="shared" si="10"/>
        <v>999999999999</v>
      </c>
      <c r="AO103">
        <f t="shared" si="11"/>
        <v>999999999999</v>
      </c>
      <c r="AP103">
        <f t="shared" si="8"/>
        <v>999999999999</v>
      </c>
      <c r="AQ103">
        <f>IF(AND(ISNUMBER(AK103),Z103="Dependencies",OR('05 - DEPENDENCIES'!O25="Critical",'05 - DEPENDENCIES'!O25="High")),AK103,999999999999)</f>
        <v>999999999999</v>
      </c>
      <c r="AR103">
        <f t="shared" si="12"/>
        <v>0</v>
      </c>
    </row>
    <row r="104" spans="25:44">
      <c r="Y104" t="str">
        <f>IF('05 - DEPENDENCIES'!A26&lt;&gt;"",IF('05 - DEPENDENCIES'!F26="","",'05 - DEPENDENCIES'!F26),"")</f>
        <v/>
      </c>
      <c r="Z104" t="str">
        <f>IF('05 - DEPENDENCIES'!A26&lt;&gt;"","Dependencies","")</f>
        <v/>
      </c>
      <c r="AA104" t="str">
        <f>IF('05 - DEPENDENCIES'!A26&lt;&gt;"",IF('05 - DEPENDENCIES'!A26="","",'05 - DEPENDENCIES'!A26),"")</f>
        <v/>
      </c>
      <c r="AB104" t="str">
        <f>IF('05 - DEPENDENCIES'!A26&lt;&gt;"",IF('05 - DEPENDENCIES'!B26="","",'05 - DEPENDENCIES'!B26),"")</f>
        <v/>
      </c>
      <c r="AC104" t="str">
        <f>IF('05 - DEPENDENCIES'!A26&lt;&gt;"",IF('05 - DEPENDENCIES'!G26="","",'05 - DEPENDENCIES'!G26),"")</f>
        <v/>
      </c>
      <c r="AD104" t="str">
        <f>IF('05 - DEPENDENCIES'!A26&lt;&gt;"",IF('05 - DEPENDENCIES'!H26="","",'05 - DEPENDENCIES'!H26),"")</f>
        <v/>
      </c>
      <c r="AE104" t="str">
        <f>IF('05 - DEPENDENCIES'!A26&lt;&gt;"",IF('05 - DEPENDENCIES'!D26="","",'05 - DEPENDENCIES'!D26),"")</f>
        <v/>
      </c>
      <c r="AF104" s="17" t="str">
        <f>IF('05 - DEPENDENCIES'!A26&lt;&gt;"",IF('05 - DEPENDENCIES'!AE26="","",'05 - DEPENDENCIES'!AE26),"")</f>
        <v/>
      </c>
      <c r="AG104" t="str">
        <f>IF('05 - DEPENDENCIES'!A26&lt;&gt;"",IF('05 - DEPENDENCIES'!I26="","",'05 - DEPENDENCIES'!I26),"")</f>
        <v/>
      </c>
      <c r="AH104" t="str">
        <f>IF('05 - DEPENDENCIES'!A26&lt;&gt;"",IF('05 - DEPENDENCIES'!J26="","",'05 - DEPENDENCIES'!J26),"")</f>
        <v/>
      </c>
      <c r="AI104" t="str">
        <f>IF('05 - DEPENDENCIES'!A26&lt;&gt;"",IF('05 - DEPENDENCIES'!AI26="","",'05 - DEPENDENCIES'!AI26),"")</f>
        <v/>
      </c>
      <c r="AJ104" t="str">
        <f>IF('05 - DEPENDENCIES'!A26&lt;&gt;"","05 - DEPENDENCIES row 26","")</f>
        <v/>
      </c>
      <c r="AK104">
        <f>IF(AND('05 - DEPENDENCIES'!A26&lt;&gt;"",'05 - DEPENDENCIES'!AI26="Unresolved",OR(AC104&lt;&gt;"",AD104&lt;&gt;"")),IF(Y104="Critical",1,IF(Y104="Review",2,3))*100000000+IF(ISNUMBER(AF104),AF104,99999)*1000+ROW(),999999999999)</f>
        <v>999999999999</v>
      </c>
      <c r="AL104">
        <f t="shared" si="9"/>
        <v>999999999999</v>
      </c>
      <c r="AM104">
        <f t="shared" si="13"/>
        <v>999999999999</v>
      </c>
      <c r="AN104">
        <f t="shared" si="10"/>
        <v>999999999999</v>
      </c>
      <c r="AO104">
        <f t="shared" si="11"/>
        <v>999999999999</v>
      </c>
      <c r="AP104">
        <f t="shared" si="8"/>
        <v>999999999999</v>
      </c>
      <c r="AQ104">
        <f>IF(AND(ISNUMBER(AK104),Z104="Dependencies",OR('05 - DEPENDENCIES'!O26="Critical",'05 - DEPENDENCIES'!O26="High")),AK104,999999999999)</f>
        <v>999999999999</v>
      </c>
      <c r="AR104">
        <f t="shared" si="12"/>
        <v>0</v>
      </c>
    </row>
    <row r="105" spans="25:44">
      <c r="Y105" t="str">
        <f>IF('05 - DEPENDENCIES'!A27&lt;&gt;"",IF('05 - DEPENDENCIES'!F27="","",'05 - DEPENDENCIES'!F27),"")</f>
        <v/>
      </c>
      <c r="Z105" t="str">
        <f>IF('05 - DEPENDENCIES'!A27&lt;&gt;"","Dependencies","")</f>
        <v/>
      </c>
      <c r="AA105" t="str">
        <f>IF('05 - DEPENDENCIES'!A27&lt;&gt;"",IF('05 - DEPENDENCIES'!A27="","",'05 - DEPENDENCIES'!A27),"")</f>
        <v/>
      </c>
      <c r="AB105" t="str">
        <f>IF('05 - DEPENDENCIES'!A27&lt;&gt;"",IF('05 - DEPENDENCIES'!B27="","",'05 - DEPENDENCIES'!B27),"")</f>
        <v/>
      </c>
      <c r="AC105" t="str">
        <f>IF('05 - DEPENDENCIES'!A27&lt;&gt;"",IF('05 - DEPENDENCIES'!G27="","",'05 - DEPENDENCIES'!G27),"")</f>
        <v/>
      </c>
      <c r="AD105" t="str">
        <f>IF('05 - DEPENDENCIES'!A27&lt;&gt;"",IF('05 - DEPENDENCIES'!H27="","",'05 - DEPENDENCIES'!H27),"")</f>
        <v/>
      </c>
      <c r="AE105" t="str">
        <f>IF('05 - DEPENDENCIES'!A27&lt;&gt;"",IF('05 - DEPENDENCIES'!D27="","",'05 - DEPENDENCIES'!D27),"")</f>
        <v/>
      </c>
      <c r="AF105" s="17" t="str">
        <f>IF('05 - DEPENDENCIES'!A27&lt;&gt;"",IF('05 - DEPENDENCIES'!AE27="","",'05 - DEPENDENCIES'!AE27),"")</f>
        <v/>
      </c>
      <c r="AG105" t="str">
        <f>IF('05 - DEPENDENCIES'!A27&lt;&gt;"",IF('05 - DEPENDENCIES'!I27="","",'05 - DEPENDENCIES'!I27),"")</f>
        <v/>
      </c>
      <c r="AH105" t="str">
        <f>IF('05 - DEPENDENCIES'!A27&lt;&gt;"",IF('05 - DEPENDENCIES'!J27="","",'05 - DEPENDENCIES'!J27),"")</f>
        <v/>
      </c>
      <c r="AI105" t="str">
        <f>IF('05 - DEPENDENCIES'!A27&lt;&gt;"",IF('05 - DEPENDENCIES'!AI27="","",'05 - DEPENDENCIES'!AI27),"")</f>
        <v/>
      </c>
      <c r="AJ105" t="str">
        <f>IF('05 - DEPENDENCIES'!A27&lt;&gt;"","05 - DEPENDENCIES row 27","")</f>
        <v/>
      </c>
      <c r="AK105">
        <f>IF(AND('05 - DEPENDENCIES'!A27&lt;&gt;"",'05 - DEPENDENCIES'!AI27="Unresolved",OR(AC105&lt;&gt;"",AD105&lt;&gt;"")),IF(Y105="Critical",1,IF(Y105="Review",2,3))*100000000+IF(ISNUMBER(AF105),AF105,99999)*1000+ROW(),999999999999)</f>
        <v>999999999999</v>
      </c>
      <c r="AL105">
        <f t="shared" si="9"/>
        <v>999999999999</v>
      </c>
      <c r="AM105">
        <f t="shared" si="13"/>
        <v>999999999999</v>
      </c>
      <c r="AN105">
        <f t="shared" si="10"/>
        <v>999999999999</v>
      </c>
      <c r="AO105">
        <f t="shared" si="11"/>
        <v>999999999999</v>
      </c>
      <c r="AP105">
        <f t="shared" si="8"/>
        <v>999999999999</v>
      </c>
      <c r="AQ105">
        <f>IF(AND(ISNUMBER(AK105),Z105="Dependencies",OR('05 - DEPENDENCIES'!O27="Critical",'05 - DEPENDENCIES'!O27="High")),AK105,999999999999)</f>
        <v>999999999999</v>
      </c>
      <c r="AR105">
        <f t="shared" si="12"/>
        <v>0</v>
      </c>
    </row>
    <row r="106" spans="25:44">
      <c r="Y106" t="str">
        <f>IF('05 - DEPENDENCIES'!A28&lt;&gt;"",IF('05 - DEPENDENCIES'!F28="","",'05 - DEPENDENCIES'!F28),"")</f>
        <v/>
      </c>
      <c r="Z106" t="str">
        <f>IF('05 - DEPENDENCIES'!A28&lt;&gt;"","Dependencies","")</f>
        <v/>
      </c>
      <c r="AA106" t="str">
        <f>IF('05 - DEPENDENCIES'!A28&lt;&gt;"",IF('05 - DEPENDENCIES'!A28="","",'05 - DEPENDENCIES'!A28),"")</f>
        <v/>
      </c>
      <c r="AB106" t="str">
        <f>IF('05 - DEPENDENCIES'!A28&lt;&gt;"",IF('05 - DEPENDENCIES'!B28="","",'05 - DEPENDENCIES'!B28),"")</f>
        <v/>
      </c>
      <c r="AC106" t="str">
        <f>IF('05 - DEPENDENCIES'!A28&lt;&gt;"",IF('05 - DEPENDENCIES'!G28="","",'05 - DEPENDENCIES'!G28),"")</f>
        <v/>
      </c>
      <c r="AD106" t="str">
        <f>IF('05 - DEPENDENCIES'!A28&lt;&gt;"",IF('05 - DEPENDENCIES'!H28="","",'05 - DEPENDENCIES'!H28),"")</f>
        <v/>
      </c>
      <c r="AE106" t="str">
        <f>IF('05 - DEPENDENCIES'!A28&lt;&gt;"",IF('05 - DEPENDENCIES'!D28="","",'05 - DEPENDENCIES'!D28),"")</f>
        <v/>
      </c>
      <c r="AF106" s="17" t="str">
        <f>IF('05 - DEPENDENCIES'!A28&lt;&gt;"",IF('05 - DEPENDENCIES'!AE28="","",'05 - DEPENDENCIES'!AE28),"")</f>
        <v/>
      </c>
      <c r="AG106" t="str">
        <f>IF('05 - DEPENDENCIES'!A28&lt;&gt;"",IF('05 - DEPENDENCIES'!I28="","",'05 - DEPENDENCIES'!I28),"")</f>
        <v/>
      </c>
      <c r="AH106" t="str">
        <f>IF('05 - DEPENDENCIES'!A28&lt;&gt;"",IF('05 - DEPENDENCIES'!J28="","",'05 - DEPENDENCIES'!J28),"")</f>
        <v/>
      </c>
      <c r="AI106" t="str">
        <f>IF('05 - DEPENDENCIES'!A28&lt;&gt;"",IF('05 - DEPENDENCIES'!AI28="","",'05 - DEPENDENCIES'!AI28),"")</f>
        <v/>
      </c>
      <c r="AJ106" t="str">
        <f>IF('05 - DEPENDENCIES'!A28&lt;&gt;"","05 - DEPENDENCIES row 28","")</f>
        <v/>
      </c>
      <c r="AK106">
        <f>IF(AND('05 - DEPENDENCIES'!A28&lt;&gt;"",'05 - DEPENDENCIES'!AI28="Unresolved",OR(AC106&lt;&gt;"",AD106&lt;&gt;"")),IF(Y106="Critical",1,IF(Y106="Review",2,3))*100000000+IF(ISNUMBER(AF106),AF106,99999)*1000+ROW(),999999999999)</f>
        <v>999999999999</v>
      </c>
      <c r="AL106">
        <f t="shared" si="9"/>
        <v>999999999999</v>
      </c>
      <c r="AM106">
        <f t="shared" si="13"/>
        <v>999999999999</v>
      </c>
      <c r="AN106">
        <f t="shared" si="10"/>
        <v>999999999999</v>
      </c>
      <c r="AO106">
        <f t="shared" si="11"/>
        <v>999999999999</v>
      </c>
      <c r="AP106">
        <f t="shared" si="8"/>
        <v>999999999999</v>
      </c>
      <c r="AQ106">
        <f>IF(AND(ISNUMBER(AK106),Z106="Dependencies",OR('05 - DEPENDENCIES'!O28="Critical",'05 - DEPENDENCIES'!O28="High")),AK106,999999999999)</f>
        <v>999999999999</v>
      </c>
      <c r="AR106">
        <f t="shared" si="12"/>
        <v>0</v>
      </c>
    </row>
    <row r="107" spans="25:44">
      <c r="Y107" t="str">
        <f>IF('05 - DEPENDENCIES'!A29&lt;&gt;"",IF('05 - DEPENDENCIES'!F29="","",'05 - DEPENDENCIES'!F29),"")</f>
        <v/>
      </c>
      <c r="Z107" t="str">
        <f>IF('05 - DEPENDENCIES'!A29&lt;&gt;"","Dependencies","")</f>
        <v/>
      </c>
      <c r="AA107" t="str">
        <f>IF('05 - DEPENDENCIES'!A29&lt;&gt;"",IF('05 - DEPENDENCIES'!A29="","",'05 - DEPENDENCIES'!A29),"")</f>
        <v/>
      </c>
      <c r="AB107" t="str">
        <f>IF('05 - DEPENDENCIES'!A29&lt;&gt;"",IF('05 - DEPENDENCIES'!B29="","",'05 - DEPENDENCIES'!B29),"")</f>
        <v/>
      </c>
      <c r="AC107" t="str">
        <f>IF('05 - DEPENDENCIES'!A29&lt;&gt;"",IF('05 - DEPENDENCIES'!G29="","",'05 - DEPENDENCIES'!G29),"")</f>
        <v/>
      </c>
      <c r="AD107" t="str">
        <f>IF('05 - DEPENDENCIES'!A29&lt;&gt;"",IF('05 - DEPENDENCIES'!H29="","",'05 - DEPENDENCIES'!H29),"")</f>
        <v/>
      </c>
      <c r="AE107" t="str">
        <f>IF('05 - DEPENDENCIES'!A29&lt;&gt;"",IF('05 - DEPENDENCIES'!D29="","",'05 - DEPENDENCIES'!D29),"")</f>
        <v/>
      </c>
      <c r="AF107" s="17" t="str">
        <f>IF('05 - DEPENDENCIES'!A29&lt;&gt;"",IF('05 - DEPENDENCIES'!AE29="","",'05 - DEPENDENCIES'!AE29),"")</f>
        <v/>
      </c>
      <c r="AG107" t="str">
        <f>IF('05 - DEPENDENCIES'!A29&lt;&gt;"",IF('05 - DEPENDENCIES'!I29="","",'05 - DEPENDENCIES'!I29),"")</f>
        <v/>
      </c>
      <c r="AH107" t="str">
        <f>IF('05 - DEPENDENCIES'!A29&lt;&gt;"",IF('05 - DEPENDENCIES'!J29="","",'05 - DEPENDENCIES'!J29),"")</f>
        <v/>
      </c>
      <c r="AI107" t="str">
        <f>IF('05 - DEPENDENCIES'!A29&lt;&gt;"",IF('05 - DEPENDENCIES'!AI29="","",'05 - DEPENDENCIES'!AI29),"")</f>
        <v/>
      </c>
      <c r="AJ107" t="str">
        <f>IF('05 - DEPENDENCIES'!A29&lt;&gt;"","05 - DEPENDENCIES row 29","")</f>
        <v/>
      </c>
      <c r="AK107">
        <f>IF(AND('05 - DEPENDENCIES'!A29&lt;&gt;"",'05 - DEPENDENCIES'!AI29="Unresolved",OR(AC107&lt;&gt;"",AD107&lt;&gt;"")),IF(Y107="Critical",1,IF(Y107="Review",2,3))*100000000+IF(ISNUMBER(AF107),AF107,99999)*1000+ROW(),999999999999)</f>
        <v>999999999999</v>
      </c>
      <c r="AL107">
        <f t="shared" si="9"/>
        <v>999999999999</v>
      </c>
      <c r="AM107">
        <f t="shared" si="13"/>
        <v>999999999999</v>
      </c>
      <c r="AN107">
        <f t="shared" si="10"/>
        <v>999999999999</v>
      </c>
      <c r="AO107">
        <f t="shared" si="11"/>
        <v>999999999999</v>
      </c>
      <c r="AP107">
        <f t="shared" si="8"/>
        <v>999999999999</v>
      </c>
      <c r="AQ107">
        <f>IF(AND(ISNUMBER(AK107),Z107="Dependencies",OR('05 - DEPENDENCIES'!O29="Critical",'05 - DEPENDENCIES'!O29="High")),AK107,999999999999)</f>
        <v>999999999999</v>
      </c>
      <c r="AR107">
        <f t="shared" si="12"/>
        <v>0</v>
      </c>
    </row>
    <row r="108" spans="25:44">
      <c r="Y108" t="str">
        <f>IF('05 - DEPENDENCIES'!A30&lt;&gt;"",IF('05 - DEPENDENCIES'!F30="","",'05 - DEPENDENCIES'!F30),"")</f>
        <v/>
      </c>
      <c r="Z108" t="str">
        <f>IF('05 - DEPENDENCIES'!A30&lt;&gt;"","Dependencies","")</f>
        <v/>
      </c>
      <c r="AA108" t="str">
        <f>IF('05 - DEPENDENCIES'!A30&lt;&gt;"",IF('05 - DEPENDENCIES'!A30="","",'05 - DEPENDENCIES'!A30),"")</f>
        <v/>
      </c>
      <c r="AB108" t="str">
        <f>IF('05 - DEPENDENCIES'!A30&lt;&gt;"",IF('05 - DEPENDENCIES'!B30="","",'05 - DEPENDENCIES'!B30),"")</f>
        <v/>
      </c>
      <c r="AC108" t="str">
        <f>IF('05 - DEPENDENCIES'!A30&lt;&gt;"",IF('05 - DEPENDENCIES'!G30="","",'05 - DEPENDENCIES'!G30),"")</f>
        <v/>
      </c>
      <c r="AD108" t="str">
        <f>IF('05 - DEPENDENCIES'!A30&lt;&gt;"",IF('05 - DEPENDENCIES'!H30="","",'05 - DEPENDENCIES'!H30),"")</f>
        <v/>
      </c>
      <c r="AE108" t="str">
        <f>IF('05 - DEPENDENCIES'!A30&lt;&gt;"",IF('05 - DEPENDENCIES'!D30="","",'05 - DEPENDENCIES'!D30),"")</f>
        <v/>
      </c>
      <c r="AF108" s="17" t="str">
        <f>IF('05 - DEPENDENCIES'!A30&lt;&gt;"",IF('05 - DEPENDENCIES'!AE30="","",'05 - DEPENDENCIES'!AE30),"")</f>
        <v/>
      </c>
      <c r="AG108" t="str">
        <f>IF('05 - DEPENDENCIES'!A30&lt;&gt;"",IF('05 - DEPENDENCIES'!I30="","",'05 - DEPENDENCIES'!I30),"")</f>
        <v/>
      </c>
      <c r="AH108" t="str">
        <f>IF('05 - DEPENDENCIES'!A30&lt;&gt;"",IF('05 - DEPENDENCIES'!J30="","",'05 - DEPENDENCIES'!J30),"")</f>
        <v/>
      </c>
      <c r="AI108" t="str">
        <f>IF('05 - DEPENDENCIES'!A30&lt;&gt;"",IF('05 - DEPENDENCIES'!AI30="","",'05 - DEPENDENCIES'!AI30),"")</f>
        <v/>
      </c>
      <c r="AJ108" t="str">
        <f>IF('05 - DEPENDENCIES'!A30&lt;&gt;"","05 - DEPENDENCIES row 30","")</f>
        <v/>
      </c>
      <c r="AK108">
        <f>IF(AND('05 - DEPENDENCIES'!A30&lt;&gt;"",'05 - DEPENDENCIES'!AI30="Unresolved",OR(AC108&lt;&gt;"",AD108&lt;&gt;"")),IF(Y108="Critical",1,IF(Y108="Review",2,3))*100000000+IF(ISNUMBER(AF108),AF108,99999)*1000+ROW(),999999999999)</f>
        <v>999999999999</v>
      </c>
      <c r="AL108">
        <f t="shared" si="9"/>
        <v>999999999999</v>
      </c>
      <c r="AM108">
        <f t="shared" si="13"/>
        <v>999999999999</v>
      </c>
      <c r="AN108">
        <f t="shared" si="10"/>
        <v>999999999999</v>
      </c>
      <c r="AO108">
        <f t="shared" si="11"/>
        <v>999999999999</v>
      </c>
      <c r="AP108">
        <f t="shared" si="8"/>
        <v>999999999999</v>
      </c>
      <c r="AQ108">
        <f>IF(AND(ISNUMBER(AK108),Z108="Dependencies",OR('05 - DEPENDENCIES'!O30="Critical",'05 - DEPENDENCIES'!O30="High")),AK108,999999999999)</f>
        <v>999999999999</v>
      </c>
      <c r="AR108">
        <f t="shared" si="12"/>
        <v>0</v>
      </c>
    </row>
    <row r="109" spans="25:44">
      <c r="Y109" t="str">
        <f>IF('05 - DEPENDENCIES'!A31&lt;&gt;"",IF('05 - DEPENDENCIES'!F31="","",'05 - DEPENDENCIES'!F31),"")</f>
        <v/>
      </c>
      <c r="Z109" t="str">
        <f>IF('05 - DEPENDENCIES'!A31&lt;&gt;"","Dependencies","")</f>
        <v/>
      </c>
      <c r="AA109" t="str">
        <f>IF('05 - DEPENDENCIES'!A31&lt;&gt;"",IF('05 - DEPENDENCIES'!A31="","",'05 - DEPENDENCIES'!A31),"")</f>
        <v/>
      </c>
      <c r="AB109" t="str">
        <f>IF('05 - DEPENDENCIES'!A31&lt;&gt;"",IF('05 - DEPENDENCIES'!B31="","",'05 - DEPENDENCIES'!B31),"")</f>
        <v/>
      </c>
      <c r="AC109" t="str">
        <f>IF('05 - DEPENDENCIES'!A31&lt;&gt;"",IF('05 - DEPENDENCIES'!G31="","",'05 - DEPENDENCIES'!G31),"")</f>
        <v/>
      </c>
      <c r="AD109" t="str">
        <f>IF('05 - DEPENDENCIES'!A31&lt;&gt;"",IF('05 - DEPENDENCIES'!H31="","",'05 - DEPENDENCIES'!H31),"")</f>
        <v/>
      </c>
      <c r="AE109" t="str">
        <f>IF('05 - DEPENDENCIES'!A31&lt;&gt;"",IF('05 - DEPENDENCIES'!D31="","",'05 - DEPENDENCIES'!D31),"")</f>
        <v/>
      </c>
      <c r="AF109" s="17" t="str">
        <f>IF('05 - DEPENDENCIES'!A31&lt;&gt;"",IF('05 - DEPENDENCIES'!AE31="","",'05 - DEPENDENCIES'!AE31),"")</f>
        <v/>
      </c>
      <c r="AG109" t="str">
        <f>IF('05 - DEPENDENCIES'!A31&lt;&gt;"",IF('05 - DEPENDENCIES'!I31="","",'05 - DEPENDENCIES'!I31),"")</f>
        <v/>
      </c>
      <c r="AH109" t="str">
        <f>IF('05 - DEPENDENCIES'!A31&lt;&gt;"",IF('05 - DEPENDENCIES'!J31="","",'05 - DEPENDENCIES'!J31),"")</f>
        <v/>
      </c>
      <c r="AI109" t="str">
        <f>IF('05 - DEPENDENCIES'!A31&lt;&gt;"",IF('05 - DEPENDENCIES'!AI31="","",'05 - DEPENDENCIES'!AI31),"")</f>
        <v/>
      </c>
      <c r="AJ109" t="str">
        <f>IF('05 - DEPENDENCIES'!A31&lt;&gt;"","05 - DEPENDENCIES row 31","")</f>
        <v/>
      </c>
      <c r="AK109">
        <f>IF(AND('05 - DEPENDENCIES'!A31&lt;&gt;"",'05 - DEPENDENCIES'!AI31="Unresolved",OR(AC109&lt;&gt;"",AD109&lt;&gt;"")),IF(Y109="Critical",1,IF(Y109="Review",2,3))*100000000+IF(ISNUMBER(AF109),AF109,99999)*1000+ROW(),999999999999)</f>
        <v>999999999999</v>
      </c>
      <c r="AL109">
        <f t="shared" si="9"/>
        <v>999999999999</v>
      </c>
      <c r="AM109">
        <f t="shared" si="13"/>
        <v>999999999999</v>
      </c>
      <c r="AN109">
        <f t="shared" si="10"/>
        <v>999999999999</v>
      </c>
      <c r="AO109">
        <f t="shared" si="11"/>
        <v>999999999999</v>
      </c>
      <c r="AP109">
        <f t="shared" si="8"/>
        <v>999999999999</v>
      </c>
      <c r="AQ109">
        <f>IF(AND(ISNUMBER(AK109),Z109="Dependencies",OR('05 - DEPENDENCIES'!O31="Critical",'05 - DEPENDENCIES'!O31="High")),AK109,999999999999)</f>
        <v>999999999999</v>
      </c>
      <c r="AR109">
        <f t="shared" si="12"/>
        <v>0</v>
      </c>
    </row>
    <row r="110" spans="25:44">
      <c r="Y110" t="str">
        <f>IF('05 - DEPENDENCIES'!A32&lt;&gt;"",IF('05 - DEPENDENCIES'!F32="","",'05 - DEPENDENCIES'!F32),"")</f>
        <v/>
      </c>
      <c r="Z110" t="str">
        <f>IF('05 - DEPENDENCIES'!A32&lt;&gt;"","Dependencies","")</f>
        <v/>
      </c>
      <c r="AA110" t="str">
        <f>IF('05 - DEPENDENCIES'!A32&lt;&gt;"",IF('05 - DEPENDENCIES'!A32="","",'05 - DEPENDENCIES'!A32),"")</f>
        <v/>
      </c>
      <c r="AB110" t="str">
        <f>IF('05 - DEPENDENCIES'!A32&lt;&gt;"",IF('05 - DEPENDENCIES'!B32="","",'05 - DEPENDENCIES'!B32),"")</f>
        <v/>
      </c>
      <c r="AC110" t="str">
        <f>IF('05 - DEPENDENCIES'!A32&lt;&gt;"",IF('05 - DEPENDENCIES'!G32="","",'05 - DEPENDENCIES'!G32),"")</f>
        <v/>
      </c>
      <c r="AD110" t="str">
        <f>IF('05 - DEPENDENCIES'!A32&lt;&gt;"",IF('05 - DEPENDENCIES'!H32="","",'05 - DEPENDENCIES'!H32),"")</f>
        <v/>
      </c>
      <c r="AE110" t="str">
        <f>IF('05 - DEPENDENCIES'!A32&lt;&gt;"",IF('05 - DEPENDENCIES'!D32="","",'05 - DEPENDENCIES'!D32),"")</f>
        <v/>
      </c>
      <c r="AF110" s="17" t="str">
        <f>IF('05 - DEPENDENCIES'!A32&lt;&gt;"",IF('05 - DEPENDENCIES'!AE32="","",'05 - DEPENDENCIES'!AE32),"")</f>
        <v/>
      </c>
      <c r="AG110" t="str">
        <f>IF('05 - DEPENDENCIES'!A32&lt;&gt;"",IF('05 - DEPENDENCIES'!I32="","",'05 - DEPENDENCIES'!I32),"")</f>
        <v/>
      </c>
      <c r="AH110" t="str">
        <f>IF('05 - DEPENDENCIES'!A32&lt;&gt;"",IF('05 - DEPENDENCIES'!J32="","",'05 - DEPENDENCIES'!J32),"")</f>
        <v/>
      </c>
      <c r="AI110" t="str">
        <f>IF('05 - DEPENDENCIES'!A32&lt;&gt;"",IF('05 - DEPENDENCIES'!AI32="","",'05 - DEPENDENCIES'!AI32),"")</f>
        <v/>
      </c>
      <c r="AJ110" t="str">
        <f>IF('05 - DEPENDENCIES'!A32&lt;&gt;"","05 - DEPENDENCIES row 32","")</f>
        <v/>
      </c>
      <c r="AK110">
        <f>IF(AND('05 - DEPENDENCIES'!A32&lt;&gt;"",'05 - DEPENDENCIES'!AI32="Unresolved",OR(AC110&lt;&gt;"",AD110&lt;&gt;"")),IF(Y110="Critical",1,IF(Y110="Review",2,3))*100000000+IF(ISNUMBER(AF110),AF110,99999)*1000+ROW(),999999999999)</f>
        <v>999999999999</v>
      </c>
      <c r="AL110">
        <f t="shared" si="9"/>
        <v>999999999999</v>
      </c>
      <c r="AM110">
        <f t="shared" si="13"/>
        <v>999999999999</v>
      </c>
      <c r="AN110">
        <f t="shared" si="10"/>
        <v>999999999999</v>
      </c>
      <c r="AO110">
        <f t="shared" si="11"/>
        <v>999999999999</v>
      </c>
      <c r="AP110">
        <f t="shared" si="8"/>
        <v>999999999999</v>
      </c>
      <c r="AQ110">
        <f>IF(AND(ISNUMBER(AK110),Z110="Dependencies",OR('05 - DEPENDENCIES'!O32="Critical",'05 - DEPENDENCIES'!O32="High")),AK110,999999999999)</f>
        <v>999999999999</v>
      </c>
      <c r="AR110">
        <f t="shared" si="12"/>
        <v>0</v>
      </c>
    </row>
    <row r="111" spans="25:44">
      <c r="Y111" t="str">
        <f>IF('05 - DEPENDENCIES'!A33&lt;&gt;"",IF('05 - DEPENDENCIES'!F33="","",'05 - DEPENDENCIES'!F33),"")</f>
        <v/>
      </c>
      <c r="Z111" t="str">
        <f>IF('05 - DEPENDENCIES'!A33&lt;&gt;"","Dependencies","")</f>
        <v/>
      </c>
      <c r="AA111" t="str">
        <f>IF('05 - DEPENDENCIES'!A33&lt;&gt;"",IF('05 - DEPENDENCIES'!A33="","",'05 - DEPENDENCIES'!A33),"")</f>
        <v/>
      </c>
      <c r="AB111" t="str">
        <f>IF('05 - DEPENDENCIES'!A33&lt;&gt;"",IF('05 - DEPENDENCIES'!B33="","",'05 - DEPENDENCIES'!B33),"")</f>
        <v/>
      </c>
      <c r="AC111" t="str">
        <f>IF('05 - DEPENDENCIES'!A33&lt;&gt;"",IF('05 - DEPENDENCIES'!G33="","",'05 - DEPENDENCIES'!G33),"")</f>
        <v/>
      </c>
      <c r="AD111" t="str">
        <f>IF('05 - DEPENDENCIES'!A33&lt;&gt;"",IF('05 - DEPENDENCIES'!H33="","",'05 - DEPENDENCIES'!H33),"")</f>
        <v/>
      </c>
      <c r="AE111" t="str">
        <f>IF('05 - DEPENDENCIES'!A33&lt;&gt;"",IF('05 - DEPENDENCIES'!D33="","",'05 - DEPENDENCIES'!D33),"")</f>
        <v/>
      </c>
      <c r="AF111" s="17" t="str">
        <f>IF('05 - DEPENDENCIES'!A33&lt;&gt;"",IF('05 - DEPENDENCIES'!AE33="","",'05 - DEPENDENCIES'!AE33),"")</f>
        <v/>
      </c>
      <c r="AG111" t="str">
        <f>IF('05 - DEPENDENCIES'!A33&lt;&gt;"",IF('05 - DEPENDENCIES'!I33="","",'05 - DEPENDENCIES'!I33),"")</f>
        <v/>
      </c>
      <c r="AH111" t="str">
        <f>IF('05 - DEPENDENCIES'!A33&lt;&gt;"",IF('05 - DEPENDENCIES'!J33="","",'05 - DEPENDENCIES'!J33),"")</f>
        <v/>
      </c>
      <c r="AI111" t="str">
        <f>IF('05 - DEPENDENCIES'!A33&lt;&gt;"",IF('05 - DEPENDENCIES'!AI33="","",'05 - DEPENDENCIES'!AI33),"")</f>
        <v/>
      </c>
      <c r="AJ111" t="str">
        <f>IF('05 - DEPENDENCIES'!A33&lt;&gt;"","05 - DEPENDENCIES row 33","")</f>
        <v/>
      </c>
      <c r="AK111">
        <f>IF(AND('05 - DEPENDENCIES'!A33&lt;&gt;"",'05 - DEPENDENCIES'!AI33="Unresolved",OR(AC111&lt;&gt;"",AD111&lt;&gt;"")),IF(Y111="Critical",1,IF(Y111="Review",2,3))*100000000+IF(ISNUMBER(AF111),AF111,99999)*1000+ROW(),999999999999)</f>
        <v>999999999999</v>
      </c>
      <c r="AL111">
        <f t="shared" si="9"/>
        <v>999999999999</v>
      </c>
      <c r="AM111">
        <f t="shared" si="13"/>
        <v>999999999999</v>
      </c>
      <c r="AN111">
        <f t="shared" si="10"/>
        <v>999999999999</v>
      </c>
      <c r="AO111">
        <f t="shared" si="11"/>
        <v>999999999999</v>
      </c>
      <c r="AP111">
        <f t="shared" si="8"/>
        <v>999999999999</v>
      </c>
      <c r="AQ111">
        <f>IF(AND(ISNUMBER(AK111),Z111="Dependencies",OR('05 - DEPENDENCIES'!O33="Critical",'05 - DEPENDENCIES'!O33="High")),AK111,999999999999)</f>
        <v>999999999999</v>
      </c>
      <c r="AR111">
        <f t="shared" si="12"/>
        <v>0</v>
      </c>
    </row>
    <row r="112" spans="25:44">
      <c r="Y112" t="str">
        <f>IF('05 - DEPENDENCIES'!A34&lt;&gt;"",IF('05 - DEPENDENCIES'!F34="","",'05 - DEPENDENCIES'!F34),"")</f>
        <v/>
      </c>
      <c r="Z112" t="str">
        <f>IF('05 - DEPENDENCIES'!A34&lt;&gt;"","Dependencies","")</f>
        <v/>
      </c>
      <c r="AA112" t="str">
        <f>IF('05 - DEPENDENCIES'!A34&lt;&gt;"",IF('05 - DEPENDENCIES'!A34="","",'05 - DEPENDENCIES'!A34),"")</f>
        <v/>
      </c>
      <c r="AB112" t="str">
        <f>IF('05 - DEPENDENCIES'!A34&lt;&gt;"",IF('05 - DEPENDENCIES'!B34="","",'05 - DEPENDENCIES'!B34),"")</f>
        <v/>
      </c>
      <c r="AC112" t="str">
        <f>IF('05 - DEPENDENCIES'!A34&lt;&gt;"",IF('05 - DEPENDENCIES'!G34="","",'05 - DEPENDENCIES'!G34),"")</f>
        <v/>
      </c>
      <c r="AD112" t="str">
        <f>IF('05 - DEPENDENCIES'!A34&lt;&gt;"",IF('05 - DEPENDENCIES'!H34="","",'05 - DEPENDENCIES'!H34),"")</f>
        <v/>
      </c>
      <c r="AE112" t="str">
        <f>IF('05 - DEPENDENCIES'!A34&lt;&gt;"",IF('05 - DEPENDENCIES'!D34="","",'05 - DEPENDENCIES'!D34),"")</f>
        <v/>
      </c>
      <c r="AF112" s="17" t="str">
        <f>IF('05 - DEPENDENCIES'!A34&lt;&gt;"",IF('05 - DEPENDENCIES'!AE34="","",'05 - DEPENDENCIES'!AE34),"")</f>
        <v/>
      </c>
      <c r="AG112" t="str">
        <f>IF('05 - DEPENDENCIES'!A34&lt;&gt;"",IF('05 - DEPENDENCIES'!I34="","",'05 - DEPENDENCIES'!I34),"")</f>
        <v/>
      </c>
      <c r="AH112" t="str">
        <f>IF('05 - DEPENDENCIES'!A34&lt;&gt;"",IF('05 - DEPENDENCIES'!J34="","",'05 - DEPENDENCIES'!J34),"")</f>
        <v/>
      </c>
      <c r="AI112" t="str">
        <f>IF('05 - DEPENDENCIES'!A34&lt;&gt;"",IF('05 - DEPENDENCIES'!AI34="","",'05 - DEPENDENCIES'!AI34),"")</f>
        <v/>
      </c>
      <c r="AJ112" t="str">
        <f>IF('05 - DEPENDENCIES'!A34&lt;&gt;"","05 - DEPENDENCIES row 34","")</f>
        <v/>
      </c>
      <c r="AK112">
        <f>IF(AND('05 - DEPENDENCIES'!A34&lt;&gt;"",'05 - DEPENDENCIES'!AI34="Unresolved",OR(AC112&lt;&gt;"",AD112&lt;&gt;"")),IF(Y112="Critical",1,IF(Y112="Review",2,3))*100000000+IF(ISNUMBER(AF112),AF112,99999)*1000+ROW(),999999999999)</f>
        <v>999999999999</v>
      </c>
      <c r="AL112">
        <f t="shared" si="9"/>
        <v>999999999999</v>
      </c>
      <c r="AM112">
        <f t="shared" si="13"/>
        <v>999999999999</v>
      </c>
      <c r="AN112">
        <f t="shared" si="10"/>
        <v>999999999999</v>
      </c>
      <c r="AO112">
        <f t="shared" si="11"/>
        <v>999999999999</v>
      </c>
      <c r="AP112">
        <f t="shared" si="8"/>
        <v>999999999999</v>
      </c>
      <c r="AQ112">
        <f>IF(AND(ISNUMBER(AK112),Z112="Dependencies",OR('05 - DEPENDENCIES'!O34="Critical",'05 - DEPENDENCIES'!O34="High")),AK112,999999999999)</f>
        <v>999999999999</v>
      </c>
      <c r="AR112">
        <f t="shared" si="12"/>
        <v>0</v>
      </c>
    </row>
    <row r="113" spans="25:44">
      <c r="Y113" t="str">
        <f>IF('05 - DEPENDENCIES'!A35&lt;&gt;"",IF('05 - DEPENDENCIES'!F35="","",'05 - DEPENDENCIES'!F35),"")</f>
        <v/>
      </c>
      <c r="Z113" t="str">
        <f>IF('05 - DEPENDENCIES'!A35&lt;&gt;"","Dependencies","")</f>
        <v/>
      </c>
      <c r="AA113" t="str">
        <f>IF('05 - DEPENDENCIES'!A35&lt;&gt;"",IF('05 - DEPENDENCIES'!A35="","",'05 - DEPENDENCIES'!A35),"")</f>
        <v/>
      </c>
      <c r="AB113" t="str">
        <f>IF('05 - DEPENDENCIES'!A35&lt;&gt;"",IF('05 - DEPENDENCIES'!B35="","",'05 - DEPENDENCIES'!B35),"")</f>
        <v/>
      </c>
      <c r="AC113" t="str">
        <f>IF('05 - DEPENDENCIES'!A35&lt;&gt;"",IF('05 - DEPENDENCIES'!G35="","",'05 - DEPENDENCIES'!G35),"")</f>
        <v/>
      </c>
      <c r="AD113" t="str">
        <f>IF('05 - DEPENDENCIES'!A35&lt;&gt;"",IF('05 - DEPENDENCIES'!H35="","",'05 - DEPENDENCIES'!H35),"")</f>
        <v/>
      </c>
      <c r="AE113" t="str">
        <f>IF('05 - DEPENDENCIES'!A35&lt;&gt;"",IF('05 - DEPENDENCIES'!D35="","",'05 - DEPENDENCIES'!D35),"")</f>
        <v/>
      </c>
      <c r="AF113" s="17" t="str">
        <f>IF('05 - DEPENDENCIES'!A35&lt;&gt;"",IF('05 - DEPENDENCIES'!AE35="","",'05 - DEPENDENCIES'!AE35),"")</f>
        <v/>
      </c>
      <c r="AG113" t="str">
        <f>IF('05 - DEPENDENCIES'!A35&lt;&gt;"",IF('05 - DEPENDENCIES'!I35="","",'05 - DEPENDENCIES'!I35),"")</f>
        <v/>
      </c>
      <c r="AH113" t="str">
        <f>IF('05 - DEPENDENCIES'!A35&lt;&gt;"",IF('05 - DEPENDENCIES'!J35="","",'05 - DEPENDENCIES'!J35),"")</f>
        <v/>
      </c>
      <c r="AI113" t="str">
        <f>IF('05 - DEPENDENCIES'!A35&lt;&gt;"",IF('05 - DEPENDENCIES'!AI35="","",'05 - DEPENDENCIES'!AI35),"")</f>
        <v/>
      </c>
      <c r="AJ113" t="str">
        <f>IF('05 - DEPENDENCIES'!A35&lt;&gt;"","05 - DEPENDENCIES row 35","")</f>
        <v/>
      </c>
      <c r="AK113">
        <f>IF(AND('05 - DEPENDENCIES'!A35&lt;&gt;"",'05 - DEPENDENCIES'!AI35="Unresolved",OR(AC113&lt;&gt;"",AD113&lt;&gt;"")),IF(Y113="Critical",1,IF(Y113="Review",2,3))*100000000+IF(ISNUMBER(AF113),AF113,99999)*1000+ROW(),999999999999)</f>
        <v>999999999999</v>
      </c>
      <c r="AL113">
        <f t="shared" si="9"/>
        <v>999999999999</v>
      </c>
      <c r="AM113">
        <f t="shared" si="13"/>
        <v>999999999999</v>
      </c>
      <c r="AN113">
        <f t="shared" si="10"/>
        <v>999999999999</v>
      </c>
      <c r="AO113">
        <f t="shared" si="11"/>
        <v>999999999999</v>
      </c>
      <c r="AP113">
        <f t="shared" si="8"/>
        <v>999999999999</v>
      </c>
      <c r="AQ113">
        <f>IF(AND(ISNUMBER(AK113),Z113="Dependencies",OR('05 - DEPENDENCIES'!O35="Critical",'05 - DEPENDENCIES'!O35="High")),AK113,999999999999)</f>
        <v>999999999999</v>
      </c>
      <c r="AR113">
        <f t="shared" si="12"/>
        <v>0</v>
      </c>
    </row>
    <row r="114" spans="25:44">
      <c r="Y114" t="str">
        <f>IF('05 - DEPENDENCIES'!A36&lt;&gt;"",IF('05 - DEPENDENCIES'!F36="","",'05 - DEPENDENCIES'!F36),"")</f>
        <v/>
      </c>
      <c r="Z114" t="str">
        <f>IF('05 - DEPENDENCIES'!A36&lt;&gt;"","Dependencies","")</f>
        <v/>
      </c>
      <c r="AA114" t="str">
        <f>IF('05 - DEPENDENCIES'!A36&lt;&gt;"",IF('05 - DEPENDENCIES'!A36="","",'05 - DEPENDENCIES'!A36),"")</f>
        <v/>
      </c>
      <c r="AB114" t="str">
        <f>IF('05 - DEPENDENCIES'!A36&lt;&gt;"",IF('05 - DEPENDENCIES'!B36="","",'05 - DEPENDENCIES'!B36),"")</f>
        <v/>
      </c>
      <c r="AC114" t="str">
        <f>IF('05 - DEPENDENCIES'!A36&lt;&gt;"",IF('05 - DEPENDENCIES'!G36="","",'05 - DEPENDENCIES'!G36),"")</f>
        <v/>
      </c>
      <c r="AD114" t="str">
        <f>IF('05 - DEPENDENCIES'!A36&lt;&gt;"",IF('05 - DEPENDENCIES'!H36="","",'05 - DEPENDENCIES'!H36),"")</f>
        <v/>
      </c>
      <c r="AE114" t="str">
        <f>IF('05 - DEPENDENCIES'!A36&lt;&gt;"",IF('05 - DEPENDENCIES'!D36="","",'05 - DEPENDENCIES'!D36),"")</f>
        <v/>
      </c>
      <c r="AF114" s="17" t="str">
        <f>IF('05 - DEPENDENCIES'!A36&lt;&gt;"",IF('05 - DEPENDENCIES'!AE36="","",'05 - DEPENDENCIES'!AE36),"")</f>
        <v/>
      </c>
      <c r="AG114" t="str">
        <f>IF('05 - DEPENDENCIES'!A36&lt;&gt;"",IF('05 - DEPENDENCIES'!I36="","",'05 - DEPENDENCIES'!I36),"")</f>
        <v/>
      </c>
      <c r="AH114" t="str">
        <f>IF('05 - DEPENDENCIES'!A36&lt;&gt;"",IF('05 - DEPENDENCIES'!J36="","",'05 - DEPENDENCIES'!J36),"")</f>
        <v/>
      </c>
      <c r="AI114" t="str">
        <f>IF('05 - DEPENDENCIES'!A36&lt;&gt;"",IF('05 - DEPENDENCIES'!AI36="","",'05 - DEPENDENCIES'!AI36),"")</f>
        <v/>
      </c>
      <c r="AJ114" t="str">
        <f>IF('05 - DEPENDENCIES'!A36&lt;&gt;"","05 - DEPENDENCIES row 36","")</f>
        <v/>
      </c>
      <c r="AK114">
        <f>IF(AND('05 - DEPENDENCIES'!A36&lt;&gt;"",'05 - DEPENDENCIES'!AI36="Unresolved",OR(AC114&lt;&gt;"",AD114&lt;&gt;"")),IF(Y114="Critical",1,IF(Y114="Review",2,3))*100000000+IF(ISNUMBER(AF114),AF114,99999)*1000+ROW(),999999999999)</f>
        <v>999999999999</v>
      </c>
      <c r="AL114">
        <f t="shared" si="9"/>
        <v>999999999999</v>
      </c>
      <c r="AM114">
        <f t="shared" si="13"/>
        <v>999999999999</v>
      </c>
      <c r="AN114">
        <f t="shared" si="10"/>
        <v>999999999999</v>
      </c>
      <c r="AO114">
        <f t="shared" si="11"/>
        <v>999999999999</v>
      </c>
      <c r="AP114">
        <f t="shared" si="8"/>
        <v>999999999999</v>
      </c>
      <c r="AQ114">
        <f>IF(AND(ISNUMBER(AK114),Z114="Dependencies",OR('05 - DEPENDENCIES'!O36="Critical",'05 - DEPENDENCIES'!O36="High")),AK114,999999999999)</f>
        <v>999999999999</v>
      </c>
      <c r="AR114">
        <f t="shared" si="12"/>
        <v>0</v>
      </c>
    </row>
    <row r="115" spans="25:44">
      <c r="Y115" t="str">
        <f>IF('05 - DEPENDENCIES'!A37&lt;&gt;"",IF('05 - DEPENDENCIES'!F37="","",'05 - DEPENDENCIES'!F37),"")</f>
        <v/>
      </c>
      <c r="Z115" t="str">
        <f>IF('05 - DEPENDENCIES'!A37&lt;&gt;"","Dependencies","")</f>
        <v/>
      </c>
      <c r="AA115" t="str">
        <f>IF('05 - DEPENDENCIES'!A37&lt;&gt;"",IF('05 - DEPENDENCIES'!A37="","",'05 - DEPENDENCIES'!A37),"")</f>
        <v/>
      </c>
      <c r="AB115" t="str">
        <f>IF('05 - DEPENDENCIES'!A37&lt;&gt;"",IF('05 - DEPENDENCIES'!B37="","",'05 - DEPENDENCIES'!B37),"")</f>
        <v/>
      </c>
      <c r="AC115" t="str">
        <f>IF('05 - DEPENDENCIES'!A37&lt;&gt;"",IF('05 - DEPENDENCIES'!G37="","",'05 - DEPENDENCIES'!G37),"")</f>
        <v/>
      </c>
      <c r="AD115" t="str">
        <f>IF('05 - DEPENDENCIES'!A37&lt;&gt;"",IF('05 - DEPENDENCIES'!H37="","",'05 - DEPENDENCIES'!H37),"")</f>
        <v/>
      </c>
      <c r="AE115" t="str">
        <f>IF('05 - DEPENDENCIES'!A37&lt;&gt;"",IF('05 - DEPENDENCIES'!D37="","",'05 - DEPENDENCIES'!D37),"")</f>
        <v/>
      </c>
      <c r="AF115" s="17" t="str">
        <f>IF('05 - DEPENDENCIES'!A37&lt;&gt;"",IF('05 - DEPENDENCIES'!AE37="","",'05 - DEPENDENCIES'!AE37),"")</f>
        <v/>
      </c>
      <c r="AG115" t="str">
        <f>IF('05 - DEPENDENCIES'!A37&lt;&gt;"",IF('05 - DEPENDENCIES'!I37="","",'05 - DEPENDENCIES'!I37),"")</f>
        <v/>
      </c>
      <c r="AH115" t="str">
        <f>IF('05 - DEPENDENCIES'!A37&lt;&gt;"",IF('05 - DEPENDENCIES'!J37="","",'05 - DEPENDENCIES'!J37),"")</f>
        <v/>
      </c>
      <c r="AI115" t="str">
        <f>IF('05 - DEPENDENCIES'!A37&lt;&gt;"",IF('05 - DEPENDENCIES'!AI37="","",'05 - DEPENDENCIES'!AI37),"")</f>
        <v/>
      </c>
      <c r="AJ115" t="str">
        <f>IF('05 - DEPENDENCIES'!A37&lt;&gt;"","05 - DEPENDENCIES row 37","")</f>
        <v/>
      </c>
      <c r="AK115">
        <f>IF(AND('05 - DEPENDENCIES'!A37&lt;&gt;"",'05 - DEPENDENCIES'!AI37="Unresolved",OR(AC115&lt;&gt;"",AD115&lt;&gt;"")),IF(Y115="Critical",1,IF(Y115="Review",2,3))*100000000+IF(ISNUMBER(AF115),AF115,99999)*1000+ROW(),999999999999)</f>
        <v>999999999999</v>
      </c>
      <c r="AL115">
        <f t="shared" si="9"/>
        <v>999999999999</v>
      </c>
      <c r="AM115">
        <f t="shared" si="13"/>
        <v>999999999999</v>
      </c>
      <c r="AN115">
        <f t="shared" si="10"/>
        <v>999999999999</v>
      </c>
      <c r="AO115">
        <f t="shared" si="11"/>
        <v>999999999999</v>
      </c>
      <c r="AP115">
        <f t="shared" si="8"/>
        <v>999999999999</v>
      </c>
      <c r="AQ115">
        <f>IF(AND(ISNUMBER(AK115),Z115="Dependencies",OR('05 - DEPENDENCIES'!O37="Critical",'05 - DEPENDENCIES'!O37="High")),AK115,999999999999)</f>
        <v>999999999999</v>
      </c>
      <c r="AR115">
        <f t="shared" si="12"/>
        <v>0</v>
      </c>
    </row>
    <row r="116" spans="25:44">
      <c r="Y116" t="str">
        <f>IF('05 - DEPENDENCIES'!A38&lt;&gt;"",IF('05 - DEPENDENCIES'!F38="","",'05 - DEPENDENCIES'!F38),"")</f>
        <v/>
      </c>
      <c r="Z116" t="str">
        <f>IF('05 - DEPENDENCIES'!A38&lt;&gt;"","Dependencies","")</f>
        <v/>
      </c>
      <c r="AA116" t="str">
        <f>IF('05 - DEPENDENCIES'!A38&lt;&gt;"",IF('05 - DEPENDENCIES'!A38="","",'05 - DEPENDENCIES'!A38),"")</f>
        <v/>
      </c>
      <c r="AB116" t="str">
        <f>IF('05 - DEPENDENCIES'!A38&lt;&gt;"",IF('05 - DEPENDENCIES'!B38="","",'05 - DEPENDENCIES'!B38),"")</f>
        <v/>
      </c>
      <c r="AC116" t="str">
        <f>IF('05 - DEPENDENCIES'!A38&lt;&gt;"",IF('05 - DEPENDENCIES'!G38="","",'05 - DEPENDENCIES'!G38),"")</f>
        <v/>
      </c>
      <c r="AD116" t="str">
        <f>IF('05 - DEPENDENCIES'!A38&lt;&gt;"",IF('05 - DEPENDENCIES'!H38="","",'05 - DEPENDENCIES'!H38),"")</f>
        <v/>
      </c>
      <c r="AE116" t="str">
        <f>IF('05 - DEPENDENCIES'!A38&lt;&gt;"",IF('05 - DEPENDENCIES'!D38="","",'05 - DEPENDENCIES'!D38),"")</f>
        <v/>
      </c>
      <c r="AF116" s="17" t="str">
        <f>IF('05 - DEPENDENCIES'!A38&lt;&gt;"",IF('05 - DEPENDENCIES'!AE38="","",'05 - DEPENDENCIES'!AE38),"")</f>
        <v/>
      </c>
      <c r="AG116" t="str">
        <f>IF('05 - DEPENDENCIES'!A38&lt;&gt;"",IF('05 - DEPENDENCIES'!I38="","",'05 - DEPENDENCIES'!I38),"")</f>
        <v/>
      </c>
      <c r="AH116" t="str">
        <f>IF('05 - DEPENDENCIES'!A38&lt;&gt;"",IF('05 - DEPENDENCIES'!J38="","",'05 - DEPENDENCIES'!J38),"")</f>
        <v/>
      </c>
      <c r="AI116" t="str">
        <f>IF('05 - DEPENDENCIES'!A38&lt;&gt;"",IF('05 - DEPENDENCIES'!AI38="","",'05 - DEPENDENCIES'!AI38),"")</f>
        <v/>
      </c>
      <c r="AJ116" t="str">
        <f>IF('05 - DEPENDENCIES'!A38&lt;&gt;"","05 - DEPENDENCIES row 38","")</f>
        <v/>
      </c>
      <c r="AK116">
        <f>IF(AND('05 - DEPENDENCIES'!A38&lt;&gt;"",'05 - DEPENDENCIES'!AI38="Unresolved",OR(AC116&lt;&gt;"",AD116&lt;&gt;"")),IF(Y116="Critical",1,IF(Y116="Review",2,3))*100000000+IF(ISNUMBER(AF116),AF116,99999)*1000+ROW(),999999999999)</f>
        <v>999999999999</v>
      </c>
      <c r="AL116">
        <f t="shared" si="9"/>
        <v>999999999999</v>
      </c>
      <c r="AM116">
        <f t="shared" si="13"/>
        <v>999999999999</v>
      </c>
      <c r="AN116">
        <f t="shared" si="10"/>
        <v>999999999999</v>
      </c>
      <c r="AO116">
        <f t="shared" si="11"/>
        <v>999999999999</v>
      </c>
      <c r="AP116">
        <f t="shared" si="8"/>
        <v>999999999999</v>
      </c>
      <c r="AQ116">
        <f>IF(AND(ISNUMBER(AK116),Z116="Dependencies",OR('05 - DEPENDENCIES'!O38="Critical",'05 - DEPENDENCIES'!O38="High")),AK116,999999999999)</f>
        <v>999999999999</v>
      </c>
      <c r="AR116">
        <f t="shared" si="12"/>
        <v>0</v>
      </c>
    </row>
    <row r="117" spans="25:44">
      <c r="Y117" t="str">
        <f>IF('05 - DEPENDENCIES'!A39&lt;&gt;"",IF('05 - DEPENDENCIES'!F39="","",'05 - DEPENDENCIES'!F39),"")</f>
        <v/>
      </c>
      <c r="Z117" t="str">
        <f>IF('05 - DEPENDENCIES'!A39&lt;&gt;"","Dependencies","")</f>
        <v/>
      </c>
      <c r="AA117" t="str">
        <f>IF('05 - DEPENDENCIES'!A39&lt;&gt;"",IF('05 - DEPENDENCIES'!A39="","",'05 - DEPENDENCIES'!A39),"")</f>
        <v/>
      </c>
      <c r="AB117" t="str">
        <f>IF('05 - DEPENDENCIES'!A39&lt;&gt;"",IF('05 - DEPENDENCIES'!B39="","",'05 - DEPENDENCIES'!B39),"")</f>
        <v/>
      </c>
      <c r="AC117" t="str">
        <f>IF('05 - DEPENDENCIES'!A39&lt;&gt;"",IF('05 - DEPENDENCIES'!G39="","",'05 - DEPENDENCIES'!G39),"")</f>
        <v/>
      </c>
      <c r="AD117" t="str">
        <f>IF('05 - DEPENDENCIES'!A39&lt;&gt;"",IF('05 - DEPENDENCIES'!H39="","",'05 - DEPENDENCIES'!H39),"")</f>
        <v/>
      </c>
      <c r="AE117" t="str">
        <f>IF('05 - DEPENDENCIES'!A39&lt;&gt;"",IF('05 - DEPENDENCIES'!D39="","",'05 - DEPENDENCIES'!D39),"")</f>
        <v/>
      </c>
      <c r="AF117" s="17" t="str">
        <f>IF('05 - DEPENDENCIES'!A39&lt;&gt;"",IF('05 - DEPENDENCIES'!AE39="","",'05 - DEPENDENCIES'!AE39),"")</f>
        <v/>
      </c>
      <c r="AG117" t="str">
        <f>IF('05 - DEPENDENCIES'!A39&lt;&gt;"",IF('05 - DEPENDENCIES'!I39="","",'05 - DEPENDENCIES'!I39),"")</f>
        <v/>
      </c>
      <c r="AH117" t="str">
        <f>IF('05 - DEPENDENCIES'!A39&lt;&gt;"",IF('05 - DEPENDENCIES'!J39="","",'05 - DEPENDENCIES'!J39),"")</f>
        <v/>
      </c>
      <c r="AI117" t="str">
        <f>IF('05 - DEPENDENCIES'!A39&lt;&gt;"",IF('05 - DEPENDENCIES'!AI39="","",'05 - DEPENDENCIES'!AI39),"")</f>
        <v/>
      </c>
      <c r="AJ117" t="str">
        <f>IF('05 - DEPENDENCIES'!A39&lt;&gt;"","05 - DEPENDENCIES row 39","")</f>
        <v/>
      </c>
      <c r="AK117">
        <f>IF(AND('05 - DEPENDENCIES'!A39&lt;&gt;"",'05 - DEPENDENCIES'!AI39="Unresolved",OR(AC117&lt;&gt;"",AD117&lt;&gt;"")),IF(Y117="Critical",1,IF(Y117="Review",2,3))*100000000+IF(ISNUMBER(AF117),AF117,99999)*1000+ROW(),999999999999)</f>
        <v>999999999999</v>
      </c>
      <c r="AL117">
        <f t="shared" si="9"/>
        <v>999999999999</v>
      </c>
      <c r="AM117">
        <f t="shared" si="13"/>
        <v>999999999999</v>
      </c>
      <c r="AN117">
        <f t="shared" si="10"/>
        <v>999999999999</v>
      </c>
      <c r="AO117">
        <f t="shared" si="11"/>
        <v>999999999999</v>
      </c>
      <c r="AP117">
        <f t="shared" si="8"/>
        <v>999999999999</v>
      </c>
      <c r="AQ117">
        <f>IF(AND(ISNUMBER(AK117),Z117="Dependencies",OR('05 - DEPENDENCIES'!O39="Critical",'05 - DEPENDENCIES'!O39="High")),AK117,999999999999)</f>
        <v>999999999999</v>
      </c>
      <c r="AR117">
        <f t="shared" si="12"/>
        <v>0</v>
      </c>
    </row>
    <row r="118" spans="25:44">
      <c r="Y118" t="str">
        <f>IF('05 - DEPENDENCIES'!A40&lt;&gt;"",IF('05 - DEPENDENCIES'!F40="","",'05 - DEPENDENCIES'!F40),"")</f>
        <v/>
      </c>
      <c r="Z118" t="str">
        <f>IF('05 - DEPENDENCIES'!A40&lt;&gt;"","Dependencies","")</f>
        <v/>
      </c>
      <c r="AA118" t="str">
        <f>IF('05 - DEPENDENCIES'!A40&lt;&gt;"",IF('05 - DEPENDENCIES'!A40="","",'05 - DEPENDENCIES'!A40),"")</f>
        <v/>
      </c>
      <c r="AB118" t="str">
        <f>IF('05 - DEPENDENCIES'!A40&lt;&gt;"",IF('05 - DEPENDENCIES'!B40="","",'05 - DEPENDENCIES'!B40),"")</f>
        <v/>
      </c>
      <c r="AC118" t="str">
        <f>IF('05 - DEPENDENCIES'!A40&lt;&gt;"",IF('05 - DEPENDENCIES'!G40="","",'05 - DEPENDENCIES'!G40),"")</f>
        <v/>
      </c>
      <c r="AD118" t="str">
        <f>IF('05 - DEPENDENCIES'!A40&lt;&gt;"",IF('05 - DEPENDENCIES'!H40="","",'05 - DEPENDENCIES'!H40),"")</f>
        <v/>
      </c>
      <c r="AE118" t="str">
        <f>IF('05 - DEPENDENCIES'!A40&lt;&gt;"",IF('05 - DEPENDENCIES'!D40="","",'05 - DEPENDENCIES'!D40),"")</f>
        <v/>
      </c>
      <c r="AF118" s="17" t="str">
        <f>IF('05 - DEPENDENCIES'!A40&lt;&gt;"",IF('05 - DEPENDENCIES'!AE40="","",'05 - DEPENDENCIES'!AE40),"")</f>
        <v/>
      </c>
      <c r="AG118" t="str">
        <f>IF('05 - DEPENDENCIES'!A40&lt;&gt;"",IF('05 - DEPENDENCIES'!I40="","",'05 - DEPENDENCIES'!I40),"")</f>
        <v/>
      </c>
      <c r="AH118" t="str">
        <f>IF('05 - DEPENDENCIES'!A40&lt;&gt;"",IF('05 - DEPENDENCIES'!J40="","",'05 - DEPENDENCIES'!J40),"")</f>
        <v/>
      </c>
      <c r="AI118" t="str">
        <f>IF('05 - DEPENDENCIES'!A40&lt;&gt;"",IF('05 - DEPENDENCIES'!AI40="","",'05 - DEPENDENCIES'!AI40),"")</f>
        <v/>
      </c>
      <c r="AJ118" t="str">
        <f>IF('05 - DEPENDENCIES'!A40&lt;&gt;"","05 - DEPENDENCIES row 40","")</f>
        <v/>
      </c>
      <c r="AK118">
        <f>IF(AND('05 - DEPENDENCIES'!A40&lt;&gt;"",'05 - DEPENDENCIES'!AI40="Unresolved",OR(AC118&lt;&gt;"",AD118&lt;&gt;"")),IF(Y118="Critical",1,IF(Y118="Review",2,3))*100000000+IF(ISNUMBER(AF118),AF118,99999)*1000+ROW(),999999999999)</f>
        <v>999999999999</v>
      </c>
      <c r="AL118">
        <f t="shared" si="9"/>
        <v>999999999999</v>
      </c>
      <c r="AM118">
        <f t="shared" si="13"/>
        <v>999999999999</v>
      </c>
      <c r="AN118">
        <f t="shared" si="10"/>
        <v>999999999999</v>
      </c>
      <c r="AO118">
        <f t="shared" si="11"/>
        <v>999999999999</v>
      </c>
      <c r="AP118">
        <f t="shared" si="8"/>
        <v>999999999999</v>
      </c>
      <c r="AQ118">
        <f>IF(AND(ISNUMBER(AK118),Z118="Dependencies",OR('05 - DEPENDENCIES'!O40="Critical",'05 - DEPENDENCIES'!O40="High")),AK118,999999999999)</f>
        <v>999999999999</v>
      </c>
      <c r="AR118">
        <f t="shared" si="12"/>
        <v>0</v>
      </c>
    </row>
    <row r="119" spans="25:44">
      <c r="Y119" t="str">
        <f>IF('05 - DEPENDENCIES'!A41&lt;&gt;"",IF('05 - DEPENDENCIES'!F41="","",'05 - DEPENDENCIES'!F41),"")</f>
        <v/>
      </c>
      <c r="Z119" t="str">
        <f>IF('05 - DEPENDENCIES'!A41&lt;&gt;"","Dependencies","")</f>
        <v/>
      </c>
      <c r="AA119" t="str">
        <f>IF('05 - DEPENDENCIES'!A41&lt;&gt;"",IF('05 - DEPENDENCIES'!A41="","",'05 - DEPENDENCIES'!A41),"")</f>
        <v/>
      </c>
      <c r="AB119" t="str">
        <f>IF('05 - DEPENDENCIES'!A41&lt;&gt;"",IF('05 - DEPENDENCIES'!B41="","",'05 - DEPENDENCIES'!B41),"")</f>
        <v/>
      </c>
      <c r="AC119" t="str">
        <f>IF('05 - DEPENDENCIES'!A41&lt;&gt;"",IF('05 - DEPENDENCIES'!G41="","",'05 - DEPENDENCIES'!G41),"")</f>
        <v/>
      </c>
      <c r="AD119" t="str">
        <f>IF('05 - DEPENDENCIES'!A41&lt;&gt;"",IF('05 - DEPENDENCIES'!H41="","",'05 - DEPENDENCIES'!H41),"")</f>
        <v/>
      </c>
      <c r="AE119" t="str">
        <f>IF('05 - DEPENDENCIES'!A41&lt;&gt;"",IF('05 - DEPENDENCIES'!D41="","",'05 - DEPENDENCIES'!D41),"")</f>
        <v/>
      </c>
      <c r="AF119" s="17" t="str">
        <f>IF('05 - DEPENDENCIES'!A41&lt;&gt;"",IF('05 - DEPENDENCIES'!AE41="","",'05 - DEPENDENCIES'!AE41),"")</f>
        <v/>
      </c>
      <c r="AG119" t="str">
        <f>IF('05 - DEPENDENCIES'!A41&lt;&gt;"",IF('05 - DEPENDENCIES'!I41="","",'05 - DEPENDENCIES'!I41),"")</f>
        <v/>
      </c>
      <c r="AH119" t="str">
        <f>IF('05 - DEPENDENCIES'!A41&lt;&gt;"",IF('05 - DEPENDENCIES'!J41="","",'05 - DEPENDENCIES'!J41),"")</f>
        <v/>
      </c>
      <c r="AI119" t="str">
        <f>IF('05 - DEPENDENCIES'!A41&lt;&gt;"",IF('05 - DEPENDENCIES'!AI41="","",'05 - DEPENDENCIES'!AI41),"")</f>
        <v/>
      </c>
      <c r="AJ119" t="str">
        <f>IF('05 - DEPENDENCIES'!A41&lt;&gt;"","05 - DEPENDENCIES row 41","")</f>
        <v/>
      </c>
      <c r="AK119">
        <f>IF(AND('05 - DEPENDENCIES'!A41&lt;&gt;"",'05 - DEPENDENCIES'!AI41="Unresolved",OR(AC119&lt;&gt;"",AD119&lt;&gt;"")),IF(Y119="Critical",1,IF(Y119="Review",2,3))*100000000+IF(ISNUMBER(AF119),AF119,99999)*1000+ROW(),999999999999)</f>
        <v>999999999999</v>
      </c>
      <c r="AL119">
        <f t="shared" si="9"/>
        <v>999999999999</v>
      </c>
      <c r="AM119">
        <f t="shared" si="13"/>
        <v>999999999999</v>
      </c>
      <c r="AN119">
        <f t="shared" si="10"/>
        <v>999999999999</v>
      </c>
      <c r="AO119">
        <f t="shared" si="11"/>
        <v>999999999999</v>
      </c>
      <c r="AP119">
        <f t="shared" si="8"/>
        <v>999999999999</v>
      </c>
      <c r="AQ119">
        <f>IF(AND(ISNUMBER(AK119),Z119="Dependencies",OR('05 - DEPENDENCIES'!O41="Critical",'05 - DEPENDENCIES'!O41="High")),AK119,999999999999)</f>
        <v>999999999999</v>
      </c>
      <c r="AR119">
        <f t="shared" si="12"/>
        <v>0</v>
      </c>
    </row>
    <row r="120" spans="25:44">
      <c r="Y120" t="str">
        <f>IF('05 - DEPENDENCIES'!A42&lt;&gt;"",IF('05 - DEPENDENCIES'!F42="","",'05 - DEPENDENCIES'!F42),"")</f>
        <v/>
      </c>
      <c r="Z120" t="str">
        <f>IF('05 - DEPENDENCIES'!A42&lt;&gt;"","Dependencies","")</f>
        <v/>
      </c>
      <c r="AA120" t="str">
        <f>IF('05 - DEPENDENCIES'!A42&lt;&gt;"",IF('05 - DEPENDENCIES'!A42="","",'05 - DEPENDENCIES'!A42),"")</f>
        <v/>
      </c>
      <c r="AB120" t="str">
        <f>IF('05 - DEPENDENCIES'!A42&lt;&gt;"",IF('05 - DEPENDENCIES'!B42="","",'05 - DEPENDENCIES'!B42),"")</f>
        <v/>
      </c>
      <c r="AC120" t="str">
        <f>IF('05 - DEPENDENCIES'!A42&lt;&gt;"",IF('05 - DEPENDENCIES'!G42="","",'05 - DEPENDENCIES'!G42),"")</f>
        <v/>
      </c>
      <c r="AD120" t="str">
        <f>IF('05 - DEPENDENCIES'!A42&lt;&gt;"",IF('05 - DEPENDENCIES'!H42="","",'05 - DEPENDENCIES'!H42),"")</f>
        <v/>
      </c>
      <c r="AE120" t="str">
        <f>IF('05 - DEPENDENCIES'!A42&lt;&gt;"",IF('05 - DEPENDENCIES'!D42="","",'05 - DEPENDENCIES'!D42),"")</f>
        <v/>
      </c>
      <c r="AF120" s="17" t="str">
        <f>IF('05 - DEPENDENCIES'!A42&lt;&gt;"",IF('05 - DEPENDENCIES'!AE42="","",'05 - DEPENDENCIES'!AE42),"")</f>
        <v/>
      </c>
      <c r="AG120" t="str">
        <f>IF('05 - DEPENDENCIES'!A42&lt;&gt;"",IF('05 - DEPENDENCIES'!I42="","",'05 - DEPENDENCIES'!I42),"")</f>
        <v/>
      </c>
      <c r="AH120" t="str">
        <f>IF('05 - DEPENDENCIES'!A42&lt;&gt;"",IF('05 - DEPENDENCIES'!J42="","",'05 - DEPENDENCIES'!J42),"")</f>
        <v/>
      </c>
      <c r="AI120" t="str">
        <f>IF('05 - DEPENDENCIES'!A42&lt;&gt;"",IF('05 - DEPENDENCIES'!AI42="","",'05 - DEPENDENCIES'!AI42),"")</f>
        <v/>
      </c>
      <c r="AJ120" t="str">
        <f>IF('05 - DEPENDENCIES'!A42&lt;&gt;"","05 - DEPENDENCIES row 42","")</f>
        <v/>
      </c>
      <c r="AK120">
        <f>IF(AND('05 - DEPENDENCIES'!A42&lt;&gt;"",'05 - DEPENDENCIES'!AI42="Unresolved",OR(AC120&lt;&gt;"",AD120&lt;&gt;"")),IF(Y120="Critical",1,IF(Y120="Review",2,3))*100000000+IF(ISNUMBER(AF120),AF120,99999)*1000+ROW(),999999999999)</f>
        <v>999999999999</v>
      </c>
      <c r="AL120">
        <f t="shared" si="9"/>
        <v>999999999999</v>
      </c>
      <c r="AM120">
        <f t="shared" si="13"/>
        <v>999999999999</v>
      </c>
      <c r="AN120">
        <f t="shared" si="10"/>
        <v>999999999999</v>
      </c>
      <c r="AO120">
        <f t="shared" si="11"/>
        <v>999999999999</v>
      </c>
      <c r="AP120">
        <f t="shared" si="8"/>
        <v>999999999999</v>
      </c>
      <c r="AQ120">
        <f>IF(AND(ISNUMBER(AK120),Z120="Dependencies",OR('05 - DEPENDENCIES'!O42="Critical",'05 - DEPENDENCIES'!O42="High")),AK120,999999999999)</f>
        <v>999999999999</v>
      </c>
      <c r="AR120">
        <f t="shared" si="12"/>
        <v>0</v>
      </c>
    </row>
    <row r="121" spans="25:44">
      <c r="Y121" t="str">
        <f>IF('05 - DEPENDENCIES'!A43&lt;&gt;"",IF('05 - DEPENDENCIES'!F43="","",'05 - DEPENDENCIES'!F43),"")</f>
        <v/>
      </c>
      <c r="Z121" t="str">
        <f>IF('05 - DEPENDENCIES'!A43&lt;&gt;"","Dependencies","")</f>
        <v/>
      </c>
      <c r="AA121" t="str">
        <f>IF('05 - DEPENDENCIES'!A43&lt;&gt;"",IF('05 - DEPENDENCIES'!A43="","",'05 - DEPENDENCIES'!A43),"")</f>
        <v/>
      </c>
      <c r="AB121" t="str">
        <f>IF('05 - DEPENDENCIES'!A43&lt;&gt;"",IF('05 - DEPENDENCIES'!B43="","",'05 - DEPENDENCIES'!B43),"")</f>
        <v/>
      </c>
      <c r="AC121" t="str">
        <f>IF('05 - DEPENDENCIES'!A43&lt;&gt;"",IF('05 - DEPENDENCIES'!G43="","",'05 - DEPENDENCIES'!G43),"")</f>
        <v/>
      </c>
      <c r="AD121" t="str">
        <f>IF('05 - DEPENDENCIES'!A43&lt;&gt;"",IF('05 - DEPENDENCIES'!H43="","",'05 - DEPENDENCIES'!H43),"")</f>
        <v/>
      </c>
      <c r="AE121" t="str">
        <f>IF('05 - DEPENDENCIES'!A43&lt;&gt;"",IF('05 - DEPENDENCIES'!D43="","",'05 - DEPENDENCIES'!D43),"")</f>
        <v/>
      </c>
      <c r="AF121" s="17" t="str">
        <f>IF('05 - DEPENDENCIES'!A43&lt;&gt;"",IF('05 - DEPENDENCIES'!AE43="","",'05 - DEPENDENCIES'!AE43),"")</f>
        <v/>
      </c>
      <c r="AG121" t="str">
        <f>IF('05 - DEPENDENCIES'!A43&lt;&gt;"",IF('05 - DEPENDENCIES'!I43="","",'05 - DEPENDENCIES'!I43),"")</f>
        <v/>
      </c>
      <c r="AH121" t="str">
        <f>IF('05 - DEPENDENCIES'!A43&lt;&gt;"",IF('05 - DEPENDENCIES'!J43="","",'05 - DEPENDENCIES'!J43),"")</f>
        <v/>
      </c>
      <c r="AI121" t="str">
        <f>IF('05 - DEPENDENCIES'!A43&lt;&gt;"",IF('05 - DEPENDENCIES'!AI43="","",'05 - DEPENDENCIES'!AI43),"")</f>
        <v/>
      </c>
      <c r="AJ121" t="str">
        <f>IF('05 - DEPENDENCIES'!A43&lt;&gt;"","05 - DEPENDENCIES row 43","")</f>
        <v/>
      </c>
      <c r="AK121">
        <f>IF(AND('05 - DEPENDENCIES'!A43&lt;&gt;"",'05 - DEPENDENCIES'!AI43="Unresolved",OR(AC121&lt;&gt;"",AD121&lt;&gt;"")),IF(Y121="Critical",1,IF(Y121="Review",2,3))*100000000+IF(ISNUMBER(AF121),AF121,99999)*1000+ROW(),999999999999)</f>
        <v>999999999999</v>
      </c>
      <c r="AL121">
        <f t="shared" si="9"/>
        <v>999999999999</v>
      </c>
      <c r="AM121">
        <f t="shared" si="13"/>
        <v>999999999999</v>
      </c>
      <c r="AN121">
        <f t="shared" si="10"/>
        <v>999999999999</v>
      </c>
      <c r="AO121">
        <f t="shared" si="11"/>
        <v>999999999999</v>
      </c>
      <c r="AP121">
        <f t="shared" si="8"/>
        <v>999999999999</v>
      </c>
      <c r="AQ121">
        <f>IF(AND(ISNUMBER(AK121),Z121="Dependencies",OR('05 - DEPENDENCIES'!O43="Critical",'05 - DEPENDENCIES'!O43="High")),AK121,999999999999)</f>
        <v>999999999999</v>
      </c>
      <c r="AR121">
        <f t="shared" si="12"/>
        <v>0</v>
      </c>
    </row>
    <row r="122" spans="25:44">
      <c r="Y122" t="str">
        <f>IF('05 - DEPENDENCIES'!A44&lt;&gt;"",IF('05 - DEPENDENCIES'!F44="","",'05 - DEPENDENCIES'!F44),"")</f>
        <v/>
      </c>
      <c r="Z122" t="str">
        <f>IF('05 - DEPENDENCIES'!A44&lt;&gt;"","Dependencies","")</f>
        <v/>
      </c>
      <c r="AA122" t="str">
        <f>IF('05 - DEPENDENCIES'!A44&lt;&gt;"",IF('05 - DEPENDENCIES'!A44="","",'05 - DEPENDENCIES'!A44),"")</f>
        <v/>
      </c>
      <c r="AB122" t="str">
        <f>IF('05 - DEPENDENCIES'!A44&lt;&gt;"",IF('05 - DEPENDENCIES'!B44="","",'05 - DEPENDENCIES'!B44),"")</f>
        <v/>
      </c>
      <c r="AC122" t="str">
        <f>IF('05 - DEPENDENCIES'!A44&lt;&gt;"",IF('05 - DEPENDENCIES'!G44="","",'05 - DEPENDENCIES'!G44),"")</f>
        <v/>
      </c>
      <c r="AD122" t="str">
        <f>IF('05 - DEPENDENCIES'!A44&lt;&gt;"",IF('05 - DEPENDENCIES'!H44="","",'05 - DEPENDENCIES'!H44),"")</f>
        <v/>
      </c>
      <c r="AE122" t="str">
        <f>IF('05 - DEPENDENCIES'!A44&lt;&gt;"",IF('05 - DEPENDENCIES'!D44="","",'05 - DEPENDENCIES'!D44),"")</f>
        <v/>
      </c>
      <c r="AF122" s="17" t="str">
        <f>IF('05 - DEPENDENCIES'!A44&lt;&gt;"",IF('05 - DEPENDENCIES'!AE44="","",'05 - DEPENDENCIES'!AE44),"")</f>
        <v/>
      </c>
      <c r="AG122" t="str">
        <f>IF('05 - DEPENDENCIES'!A44&lt;&gt;"",IF('05 - DEPENDENCIES'!I44="","",'05 - DEPENDENCIES'!I44),"")</f>
        <v/>
      </c>
      <c r="AH122" t="str">
        <f>IF('05 - DEPENDENCIES'!A44&lt;&gt;"",IF('05 - DEPENDENCIES'!J44="","",'05 - DEPENDENCIES'!J44),"")</f>
        <v/>
      </c>
      <c r="AI122" t="str">
        <f>IF('05 - DEPENDENCIES'!A44&lt;&gt;"",IF('05 - DEPENDENCIES'!AI44="","",'05 - DEPENDENCIES'!AI44),"")</f>
        <v/>
      </c>
      <c r="AJ122" t="str">
        <f>IF('05 - DEPENDENCIES'!A44&lt;&gt;"","05 - DEPENDENCIES row 44","")</f>
        <v/>
      </c>
      <c r="AK122">
        <f>IF(AND('05 - DEPENDENCIES'!A44&lt;&gt;"",'05 - DEPENDENCIES'!AI44="Unresolved",OR(AC122&lt;&gt;"",AD122&lt;&gt;"")),IF(Y122="Critical",1,IF(Y122="Review",2,3))*100000000+IF(ISNUMBER(AF122),AF122,99999)*1000+ROW(),999999999999)</f>
        <v>999999999999</v>
      </c>
      <c r="AL122">
        <f t="shared" si="9"/>
        <v>999999999999</v>
      </c>
      <c r="AM122">
        <f t="shared" si="13"/>
        <v>999999999999</v>
      </c>
      <c r="AN122">
        <f t="shared" si="10"/>
        <v>999999999999</v>
      </c>
      <c r="AO122">
        <f t="shared" si="11"/>
        <v>999999999999</v>
      </c>
      <c r="AP122">
        <f t="shared" si="8"/>
        <v>999999999999</v>
      </c>
      <c r="AQ122">
        <f>IF(AND(ISNUMBER(AK122),Z122="Dependencies",OR('05 - DEPENDENCIES'!O44="Critical",'05 - DEPENDENCIES'!O44="High")),AK122,999999999999)</f>
        <v>999999999999</v>
      </c>
      <c r="AR122">
        <f t="shared" si="12"/>
        <v>0</v>
      </c>
    </row>
    <row r="123" spans="25:44">
      <c r="Y123" t="str">
        <f>IF('05 - DEPENDENCIES'!A45&lt;&gt;"",IF('05 - DEPENDENCIES'!F45="","",'05 - DEPENDENCIES'!F45),"")</f>
        <v/>
      </c>
      <c r="Z123" t="str">
        <f>IF('05 - DEPENDENCIES'!A45&lt;&gt;"","Dependencies","")</f>
        <v/>
      </c>
      <c r="AA123" t="str">
        <f>IF('05 - DEPENDENCIES'!A45&lt;&gt;"",IF('05 - DEPENDENCIES'!A45="","",'05 - DEPENDENCIES'!A45),"")</f>
        <v/>
      </c>
      <c r="AB123" t="str">
        <f>IF('05 - DEPENDENCIES'!A45&lt;&gt;"",IF('05 - DEPENDENCIES'!B45="","",'05 - DEPENDENCIES'!B45),"")</f>
        <v/>
      </c>
      <c r="AC123" t="str">
        <f>IF('05 - DEPENDENCIES'!A45&lt;&gt;"",IF('05 - DEPENDENCIES'!G45="","",'05 - DEPENDENCIES'!G45),"")</f>
        <v/>
      </c>
      <c r="AD123" t="str">
        <f>IF('05 - DEPENDENCIES'!A45&lt;&gt;"",IF('05 - DEPENDENCIES'!H45="","",'05 - DEPENDENCIES'!H45),"")</f>
        <v/>
      </c>
      <c r="AE123" t="str">
        <f>IF('05 - DEPENDENCIES'!A45&lt;&gt;"",IF('05 - DEPENDENCIES'!D45="","",'05 - DEPENDENCIES'!D45),"")</f>
        <v/>
      </c>
      <c r="AF123" s="17" t="str">
        <f>IF('05 - DEPENDENCIES'!A45&lt;&gt;"",IF('05 - DEPENDENCIES'!AE45="","",'05 - DEPENDENCIES'!AE45),"")</f>
        <v/>
      </c>
      <c r="AG123" t="str">
        <f>IF('05 - DEPENDENCIES'!A45&lt;&gt;"",IF('05 - DEPENDENCIES'!I45="","",'05 - DEPENDENCIES'!I45),"")</f>
        <v/>
      </c>
      <c r="AH123" t="str">
        <f>IF('05 - DEPENDENCIES'!A45&lt;&gt;"",IF('05 - DEPENDENCIES'!J45="","",'05 - DEPENDENCIES'!J45),"")</f>
        <v/>
      </c>
      <c r="AI123" t="str">
        <f>IF('05 - DEPENDENCIES'!A45&lt;&gt;"",IF('05 - DEPENDENCIES'!AI45="","",'05 - DEPENDENCIES'!AI45),"")</f>
        <v/>
      </c>
      <c r="AJ123" t="str">
        <f>IF('05 - DEPENDENCIES'!A45&lt;&gt;"","05 - DEPENDENCIES row 45","")</f>
        <v/>
      </c>
      <c r="AK123">
        <f>IF(AND('05 - DEPENDENCIES'!A45&lt;&gt;"",'05 - DEPENDENCIES'!AI45="Unresolved",OR(AC123&lt;&gt;"",AD123&lt;&gt;"")),IF(Y123="Critical",1,IF(Y123="Review",2,3))*100000000+IF(ISNUMBER(AF123),AF123,99999)*1000+ROW(),999999999999)</f>
        <v>999999999999</v>
      </c>
      <c r="AL123">
        <f t="shared" si="9"/>
        <v>999999999999</v>
      </c>
      <c r="AM123">
        <f t="shared" si="13"/>
        <v>999999999999</v>
      </c>
      <c r="AN123">
        <f t="shared" si="10"/>
        <v>999999999999</v>
      </c>
      <c r="AO123">
        <f t="shared" si="11"/>
        <v>999999999999</v>
      </c>
      <c r="AP123">
        <f t="shared" si="8"/>
        <v>999999999999</v>
      </c>
      <c r="AQ123">
        <f>IF(AND(ISNUMBER(AK123),Z123="Dependencies",OR('05 - DEPENDENCIES'!O45="Critical",'05 - DEPENDENCIES'!O45="High")),AK123,999999999999)</f>
        <v>999999999999</v>
      </c>
      <c r="AR123">
        <f t="shared" si="12"/>
        <v>0</v>
      </c>
    </row>
    <row r="124" spans="25:44">
      <c r="Y124" t="str">
        <f>IF('05 - DEPENDENCIES'!A46&lt;&gt;"",IF('05 - DEPENDENCIES'!F46="","",'05 - DEPENDENCIES'!F46),"")</f>
        <v/>
      </c>
      <c r="Z124" t="str">
        <f>IF('05 - DEPENDENCIES'!A46&lt;&gt;"","Dependencies","")</f>
        <v/>
      </c>
      <c r="AA124" t="str">
        <f>IF('05 - DEPENDENCIES'!A46&lt;&gt;"",IF('05 - DEPENDENCIES'!A46="","",'05 - DEPENDENCIES'!A46),"")</f>
        <v/>
      </c>
      <c r="AB124" t="str">
        <f>IF('05 - DEPENDENCIES'!A46&lt;&gt;"",IF('05 - DEPENDENCIES'!B46="","",'05 - DEPENDENCIES'!B46),"")</f>
        <v/>
      </c>
      <c r="AC124" t="str">
        <f>IF('05 - DEPENDENCIES'!A46&lt;&gt;"",IF('05 - DEPENDENCIES'!G46="","",'05 - DEPENDENCIES'!G46),"")</f>
        <v/>
      </c>
      <c r="AD124" t="str">
        <f>IF('05 - DEPENDENCIES'!A46&lt;&gt;"",IF('05 - DEPENDENCIES'!H46="","",'05 - DEPENDENCIES'!H46),"")</f>
        <v/>
      </c>
      <c r="AE124" t="str">
        <f>IF('05 - DEPENDENCIES'!A46&lt;&gt;"",IF('05 - DEPENDENCIES'!D46="","",'05 - DEPENDENCIES'!D46),"")</f>
        <v/>
      </c>
      <c r="AF124" s="17" t="str">
        <f>IF('05 - DEPENDENCIES'!A46&lt;&gt;"",IF('05 - DEPENDENCIES'!AE46="","",'05 - DEPENDENCIES'!AE46),"")</f>
        <v/>
      </c>
      <c r="AG124" t="str">
        <f>IF('05 - DEPENDENCIES'!A46&lt;&gt;"",IF('05 - DEPENDENCIES'!I46="","",'05 - DEPENDENCIES'!I46),"")</f>
        <v/>
      </c>
      <c r="AH124" t="str">
        <f>IF('05 - DEPENDENCIES'!A46&lt;&gt;"",IF('05 - DEPENDENCIES'!J46="","",'05 - DEPENDENCIES'!J46),"")</f>
        <v/>
      </c>
      <c r="AI124" t="str">
        <f>IF('05 - DEPENDENCIES'!A46&lt;&gt;"",IF('05 - DEPENDENCIES'!AI46="","",'05 - DEPENDENCIES'!AI46),"")</f>
        <v/>
      </c>
      <c r="AJ124" t="str">
        <f>IF('05 - DEPENDENCIES'!A46&lt;&gt;"","05 - DEPENDENCIES row 46","")</f>
        <v/>
      </c>
      <c r="AK124">
        <f>IF(AND('05 - DEPENDENCIES'!A46&lt;&gt;"",'05 - DEPENDENCIES'!AI46="Unresolved",OR(AC124&lt;&gt;"",AD124&lt;&gt;"")),IF(Y124="Critical",1,IF(Y124="Review",2,3))*100000000+IF(ISNUMBER(AF124),AF124,99999)*1000+ROW(),999999999999)</f>
        <v>999999999999</v>
      </c>
      <c r="AL124">
        <f t="shared" si="9"/>
        <v>999999999999</v>
      </c>
      <c r="AM124">
        <f t="shared" si="13"/>
        <v>999999999999</v>
      </c>
      <c r="AN124">
        <f t="shared" si="10"/>
        <v>999999999999</v>
      </c>
      <c r="AO124">
        <f t="shared" si="11"/>
        <v>999999999999</v>
      </c>
      <c r="AP124">
        <f t="shared" si="8"/>
        <v>999999999999</v>
      </c>
      <c r="AQ124">
        <f>IF(AND(ISNUMBER(AK124),Z124="Dependencies",OR('05 - DEPENDENCIES'!O46="Critical",'05 - DEPENDENCIES'!O46="High")),AK124,999999999999)</f>
        <v>999999999999</v>
      </c>
      <c r="AR124">
        <f t="shared" si="12"/>
        <v>0</v>
      </c>
    </row>
    <row r="125" spans="25:44">
      <c r="Y125" t="str">
        <f>IF('05 - DEPENDENCIES'!A47&lt;&gt;"",IF('05 - DEPENDENCIES'!F47="","",'05 - DEPENDENCIES'!F47),"")</f>
        <v/>
      </c>
      <c r="Z125" t="str">
        <f>IF('05 - DEPENDENCIES'!A47&lt;&gt;"","Dependencies","")</f>
        <v/>
      </c>
      <c r="AA125" t="str">
        <f>IF('05 - DEPENDENCIES'!A47&lt;&gt;"",IF('05 - DEPENDENCIES'!A47="","",'05 - DEPENDENCIES'!A47),"")</f>
        <v/>
      </c>
      <c r="AB125" t="str">
        <f>IF('05 - DEPENDENCIES'!A47&lt;&gt;"",IF('05 - DEPENDENCIES'!B47="","",'05 - DEPENDENCIES'!B47),"")</f>
        <v/>
      </c>
      <c r="AC125" t="str">
        <f>IF('05 - DEPENDENCIES'!A47&lt;&gt;"",IF('05 - DEPENDENCIES'!G47="","",'05 - DEPENDENCIES'!G47),"")</f>
        <v/>
      </c>
      <c r="AD125" t="str">
        <f>IF('05 - DEPENDENCIES'!A47&lt;&gt;"",IF('05 - DEPENDENCIES'!H47="","",'05 - DEPENDENCIES'!H47),"")</f>
        <v/>
      </c>
      <c r="AE125" t="str">
        <f>IF('05 - DEPENDENCIES'!A47&lt;&gt;"",IF('05 - DEPENDENCIES'!D47="","",'05 - DEPENDENCIES'!D47),"")</f>
        <v/>
      </c>
      <c r="AF125" s="17" t="str">
        <f>IF('05 - DEPENDENCIES'!A47&lt;&gt;"",IF('05 - DEPENDENCIES'!AE47="","",'05 - DEPENDENCIES'!AE47),"")</f>
        <v/>
      </c>
      <c r="AG125" t="str">
        <f>IF('05 - DEPENDENCIES'!A47&lt;&gt;"",IF('05 - DEPENDENCIES'!I47="","",'05 - DEPENDENCIES'!I47),"")</f>
        <v/>
      </c>
      <c r="AH125" t="str">
        <f>IF('05 - DEPENDENCIES'!A47&lt;&gt;"",IF('05 - DEPENDENCIES'!J47="","",'05 - DEPENDENCIES'!J47),"")</f>
        <v/>
      </c>
      <c r="AI125" t="str">
        <f>IF('05 - DEPENDENCIES'!A47&lt;&gt;"",IF('05 - DEPENDENCIES'!AI47="","",'05 - DEPENDENCIES'!AI47),"")</f>
        <v/>
      </c>
      <c r="AJ125" t="str">
        <f>IF('05 - DEPENDENCIES'!A47&lt;&gt;"","05 - DEPENDENCIES row 47","")</f>
        <v/>
      </c>
      <c r="AK125">
        <f>IF(AND('05 - DEPENDENCIES'!A47&lt;&gt;"",'05 - DEPENDENCIES'!AI47="Unresolved",OR(AC125&lt;&gt;"",AD125&lt;&gt;"")),IF(Y125="Critical",1,IF(Y125="Review",2,3))*100000000+IF(ISNUMBER(AF125),AF125,99999)*1000+ROW(),999999999999)</f>
        <v>999999999999</v>
      </c>
      <c r="AL125">
        <f t="shared" si="9"/>
        <v>999999999999</v>
      </c>
      <c r="AM125">
        <f t="shared" si="13"/>
        <v>999999999999</v>
      </c>
      <c r="AN125">
        <f t="shared" si="10"/>
        <v>999999999999</v>
      </c>
      <c r="AO125">
        <f t="shared" si="11"/>
        <v>999999999999</v>
      </c>
      <c r="AP125">
        <f t="shared" si="8"/>
        <v>999999999999</v>
      </c>
      <c r="AQ125">
        <f>IF(AND(ISNUMBER(AK125),Z125="Dependencies",OR('05 - DEPENDENCIES'!O47="Critical",'05 - DEPENDENCIES'!O47="High")),AK125,999999999999)</f>
        <v>999999999999</v>
      </c>
      <c r="AR125">
        <f t="shared" si="12"/>
        <v>0</v>
      </c>
    </row>
    <row r="126" spans="25:44">
      <c r="Y126" t="str">
        <f>IF('05 - DEPENDENCIES'!A48&lt;&gt;"",IF('05 - DEPENDENCIES'!F48="","",'05 - DEPENDENCIES'!F48),"")</f>
        <v/>
      </c>
      <c r="Z126" t="str">
        <f>IF('05 - DEPENDENCIES'!A48&lt;&gt;"","Dependencies","")</f>
        <v/>
      </c>
      <c r="AA126" t="str">
        <f>IF('05 - DEPENDENCIES'!A48&lt;&gt;"",IF('05 - DEPENDENCIES'!A48="","",'05 - DEPENDENCIES'!A48),"")</f>
        <v/>
      </c>
      <c r="AB126" t="str">
        <f>IF('05 - DEPENDENCIES'!A48&lt;&gt;"",IF('05 - DEPENDENCIES'!B48="","",'05 - DEPENDENCIES'!B48),"")</f>
        <v/>
      </c>
      <c r="AC126" t="str">
        <f>IF('05 - DEPENDENCIES'!A48&lt;&gt;"",IF('05 - DEPENDENCIES'!G48="","",'05 - DEPENDENCIES'!G48),"")</f>
        <v/>
      </c>
      <c r="AD126" t="str">
        <f>IF('05 - DEPENDENCIES'!A48&lt;&gt;"",IF('05 - DEPENDENCIES'!H48="","",'05 - DEPENDENCIES'!H48),"")</f>
        <v/>
      </c>
      <c r="AE126" t="str">
        <f>IF('05 - DEPENDENCIES'!A48&lt;&gt;"",IF('05 - DEPENDENCIES'!D48="","",'05 - DEPENDENCIES'!D48),"")</f>
        <v/>
      </c>
      <c r="AF126" s="17" t="str">
        <f>IF('05 - DEPENDENCIES'!A48&lt;&gt;"",IF('05 - DEPENDENCIES'!AE48="","",'05 - DEPENDENCIES'!AE48),"")</f>
        <v/>
      </c>
      <c r="AG126" t="str">
        <f>IF('05 - DEPENDENCIES'!A48&lt;&gt;"",IF('05 - DEPENDENCIES'!I48="","",'05 - DEPENDENCIES'!I48),"")</f>
        <v/>
      </c>
      <c r="AH126" t="str">
        <f>IF('05 - DEPENDENCIES'!A48&lt;&gt;"",IF('05 - DEPENDENCIES'!J48="","",'05 - DEPENDENCIES'!J48),"")</f>
        <v/>
      </c>
      <c r="AI126" t="str">
        <f>IF('05 - DEPENDENCIES'!A48&lt;&gt;"",IF('05 - DEPENDENCIES'!AI48="","",'05 - DEPENDENCIES'!AI48),"")</f>
        <v/>
      </c>
      <c r="AJ126" t="str">
        <f>IF('05 - DEPENDENCIES'!A48&lt;&gt;"","05 - DEPENDENCIES row 48","")</f>
        <v/>
      </c>
      <c r="AK126">
        <f>IF(AND('05 - DEPENDENCIES'!A48&lt;&gt;"",'05 - DEPENDENCIES'!AI48="Unresolved",OR(AC126&lt;&gt;"",AD126&lt;&gt;"")),IF(Y126="Critical",1,IF(Y126="Review",2,3))*100000000+IF(ISNUMBER(AF126),AF126,99999)*1000+ROW(),999999999999)</f>
        <v>999999999999</v>
      </c>
      <c r="AL126">
        <f t="shared" si="9"/>
        <v>999999999999</v>
      </c>
      <c r="AM126">
        <f t="shared" si="13"/>
        <v>999999999999</v>
      </c>
      <c r="AN126">
        <f t="shared" si="10"/>
        <v>999999999999</v>
      </c>
      <c r="AO126">
        <f t="shared" si="11"/>
        <v>999999999999</v>
      </c>
      <c r="AP126">
        <f t="shared" si="8"/>
        <v>999999999999</v>
      </c>
      <c r="AQ126">
        <f>IF(AND(ISNUMBER(AK126),Z126="Dependencies",OR('05 - DEPENDENCIES'!O48="Critical",'05 - DEPENDENCIES'!O48="High")),AK126,999999999999)</f>
        <v>999999999999</v>
      </c>
      <c r="AR126">
        <f t="shared" si="12"/>
        <v>0</v>
      </c>
    </row>
    <row r="127" spans="25:44">
      <c r="Y127" t="str">
        <f>IF('05 - DEPENDENCIES'!A49&lt;&gt;"",IF('05 - DEPENDENCIES'!F49="","",'05 - DEPENDENCIES'!F49),"")</f>
        <v/>
      </c>
      <c r="Z127" t="str">
        <f>IF('05 - DEPENDENCIES'!A49&lt;&gt;"","Dependencies","")</f>
        <v/>
      </c>
      <c r="AA127" t="str">
        <f>IF('05 - DEPENDENCIES'!A49&lt;&gt;"",IF('05 - DEPENDENCIES'!A49="","",'05 - DEPENDENCIES'!A49),"")</f>
        <v/>
      </c>
      <c r="AB127" t="str">
        <f>IF('05 - DEPENDENCIES'!A49&lt;&gt;"",IF('05 - DEPENDENCIES'!B49="","",'05 - DEPENDENCIES'!B49),"")</f>
        <v/>
      </c>
      <c r="AC127" t="str">
        <f>IF('05 - DEPENDENCIES'!A49&lt;&gt;"",IF('05 - DEPENDENCIES'!G49="","",'05 - DEPENDENCIES'!G49),"")</f>
        <v/>
      </c>
      <c r="AD127" t="str">
        <f>IF('05 - DEPENDENCIES'!A49&lt;&gt;"",IF('05 - DEPENDENCIES'!H49="","",'05 - DEPENDENCIES'!H49),"")</f>
        <v/>
      </c>
      <c r="AE127" t="str">
        <f>IF('05 - DEPENDENCIES'!A49&lt;&gt;"",IF('05 - DEPENDENCIES'!D49="","",'05 - DEPENDENCIES'!D49),"")</f>
        <v/>
      </c>
      <c r="AF127" s="17" t="str">
        <f>IF('05 - DEPENDENCIES'!A49&lt;&gt;"",IF('05 - DEPENDENCIES'!AE49="","",'05 - DEPENDENCIES'!AE49),"")</f>
        <v/>
      </c>
      <c r="AG127" t="str">
        <f>IF('05 - DEPENDENCIES'!A49&lt;&gt;"",IF('05 - DEPENDENCIES'!I49="","",'05 - DEPENDENCIES'!I49),"")</f>
        <v/>
      </c>
      <c r="AH127" t="str">
        <f>IF('05 - DEPENDENCIES'!A49&lt;&gt;"",IF('05 - DEPENDENCIES'!J49="","",'05 - DEPENDENCIES'!J49),"")</f>
        <v/>
      </c>
      <c r="AI127" t="str">
        <f>IF('05 - DEPENDENCIES'!A49&lt;&gt;"",IF('05 - DEPENDENCIES'!AI49="","",'05 - DEPENDENCIES'!AI49),"")</f>
        <v/>
      </c>
      <c r="AJ127" t="str">
        <f>IF('05 - DEPENDENCIES'!A49&lt;&gt;"","05 - DEPENDENCIES row 49","")</f>
        <v/>
      </c>
      <c r="AK127">
        <f>IF(AND('05 - DEPENDENCIES'!A49&lt;&gt;"",'05 - DEPENDENCIES'!AI49="Unresolved",OR(AC127&lt;&gt;"",AD127&lt;&gt;"")),IF(Y127="Critical",1,IF(Y127="Review",2,3))*100000000+IF(ISNUMBER(AF127),AF127,99999)*1000+ROW(),999999999999)</f>
        <v>999999999999</v>
      </c>
      <c r="AL127">
        <f t="shared" si="9"/>
        <v>999999999999</v>
      </c>
      <c r="AM127">
        <f t="shared" si="13"/>
        <v>999999999999</v>
      </c>
      <c r="AN127">
        <f t="shared" si="10"/>
        <v>999999999999</v>
      </c>
      <c r="AO127">
        <f t="shared" si="11"/>
        <v>999999999999</v>
      </c>
      <c r="AP127">
        <f t="shared" si="8"/>
        <v>999999999999</v>
      </c>
      <c r="AQ127">
        <f>IF(AND(ISNUMBER(AK127),Z127="Dependencies",OR('05 - DEPENDENCIES'!O49="Critical",'05 - DEPENDENCIES'!O49="High")),AK127,999999999999)</f>
        <v>999999999999</v>
      </c>
      <c r="AR127">
        <f t="shared" si="12"/>
        <v>0</v>
      </c>
    </row>
    <row r="128" spans="25:44">
      <c r="Y128" t="str">
        <f>IF('05 - DEPENDENCIES'!A50&lt;&gt;"",IF('05 - DEPENDENCIES'!F50="","",'05 - DEPENDENCIES'!F50),"")</f>
        <v/>
      </c>
      <c r="Z128" t="str">
        <f>IF('05 - DEPENDENCIES'!A50&lt;&gt;"","Dependencies","")</f>
        <v/>
      </c>
      <c r="AA128" t="str">
        <f>IF('05 - DEPENDENCIES'!A50&lt;&gt;"",IF('05 - DEPENDENCIES'!A50="","",'05 - DEPENDENCIES'!A50),"")</f>
        <v/>
      </c>
      <c r="AB128" t="str">
        <f>IF('05 - DEPENDENCIES'!A50&lt;&gt;"",IF('05 - DEPENDENCIES'!B50="","",'05 - DEPENDENCIES'!B50),"")</f>
        <v/>
      </c>
      <c r="AC128" t="str">
        <f>IF('05 - DEPENDENCIES'!A50&lt;&gt;"",IF('05 - DEPENDENCIES'!G50="","",'05 - DEPENDENCIES'!G50),"")</f>
        <v/>
      </c>
      <c r="AD128" t="str">
        <f>IF('05 - DEPENDENCIES'!A50&lt;&gt;"",IF('05 - DEPENDENCIES'!H50="","",'05 - DEPENDENCIES'!H50),"")</f>
        <v/>
      </c>
      <c r="AE128" t="str">
        <f>IF('05 - DEPENDENCIES'!A50&lt;&gt;"",IF('05 - DEPENDENCIES'!D50="","",'05 - DEPENDENCIES'!D50),"")</f>
        <v/>
      </c>
      <c r="AF128" s="17" t="str">
        <f>IF('05 - DEPENDENCIES'!A50&lt;&gt;"",IF('05 - DEPENDENCIES'!AE50="","",'05 - DEPENDENCIES'!AE50),"")</f>
        <v/>
      </c>
      <c r="AG128" t="str">
        <f>IF('05 - DEPENDENCIES'!A50&lt;&gt;"",IF('05 - DEPENDENCIES'!I50="","",'05 - DEPENDENCIES'!I50),"")</f>
        <v/>
      </c>
      <c r="AH128" t="str">
        <f>IF('05 - DEPENDENCIES'!A50&lt;&gt;"",IF('05 - DEPENDENCIES'!J50="","",'05 - DEPENDENCIES'!J50),"")</f>
        <v/>
      </c>
      <c r="AI128" t="str">
        <f>IF('05 - DEPENDENCIES'!A50&lt;&gt;"",IF('05 - DEPENDENCIES'!AI50="","",'05 - DEPENDENCIES'!AI50),"")</f>
        <v/>
      </c>
      <c r="AJ128" t="str">
        <f>IF('05 - DEPENDENCIES'!A50&lt;&gt;"","05 - DEPENDENCIES row 50","")</f>
        <v/>
      </c>
      <c r="AK128">
        <f>IF(AND('05 - DEPENDENCIES'!A50&lt;&gt;"",'05 - DEPENDENCIES'!AI50="Unresolved",OR(AC128&lt;&gt;"",AD128&lt;&gt;"")),IF(Y128="Critical",1,IF(Y128="Review",2,3))*100000000+IF(ISNUMBER(AF128),AF128,99999)*1000+ROW(),999999999999)</f>
        <v>999999999999</v>
      </c>
      <c r="AL128">
        <f t="shared" si="9"/>
        <v>999999999999</v>
      </c>
      <c r="AM128">
        <f t="shared" si="13"/>
        <v>999999999999</v>
      </c>
      <c r="AN128">
        <f t="shared" si="10"/>
        <v>999999999999</v>
      </c>
      <c r="AO128">
        <f t="shared" si="11"/>
        <v>999999999999</v>
      </c>
      <c r="AP128">
        <f t="shared" si="8"/>
        <v>999999999999</v>
      </c>
      <c r="AQ128">
        <f>IF(AND(ISNUMBER(AK128),Z128="Dependencies",OR('05 - DEPENDENCIES'!O50="Critical",'05 - DEPENDENCIES'!O50="High")),AK128,999999999999)</f>
        <v>999999999999</v>
      </c>
      <c r="AR128">
        <f t="shared" si="12"/>
        <v>0</v>
      </c>
    </row>
    <row r="129" spans="25:44">
      <c r="Y129" t="str">
        <f>IF('05 - DEPENDENCIES'!A51&lt;&gt;"",IF('05 - DEPENDENCIES'!F51="","",'05 - DEPENDENCIES'!F51),"")</f>
        <v/>
      </c>
      <c r="Z129" t="str">
        <f>IF('05 - DEPENDENCIES'!A51&lt;&gt;"","Dependencies","")</f>
        <v/>
      </c>
      <c r="AA129" t="str">
        <f>IF('05 - DEPENDENCIES'!A51&lt;&gt;"",IF('05 - DEPENDENCIES'!A51="","",'05 - DEPENDENCIES'!A51),"")</f>
        <v/>
      </c>
      <c r="AB129" t="str">
        <f>IF('05 - DEPENDENCIES'!A51&lt;&gt;"",IF('05 - DEPENDENCIES'!B51="","",'05 - DEPENDENCIES'!B51),"")</f>
        <v/>
      </c>
      <c r="AC129" t="str">
        <f>IF('05 - DEPENDENCIES'!A51&lt;&gt;"",IF('05 - DEPENDENCIES'!G51="","",'05 - DEPENDENCIES'!G51),"")</f>
        <v/>
      </c>
      <c r="AD129" t="str">
        <f>IF('05 - DEPENDENCIES'!A51&lt;&gt;"",IF('05 - DEPENDENCIES'!H51="","",'05 - DEPENDENCIES'!H51),"")</f>
        <v/>
      </c>
      <c r="AE129" t="str">
        <f>IF('05 - DEPENDENCIES'!A51&lt;&gt;"",IF('05 - DEPENDENCIES'!D51="","",'05 - DEPENDENCIES'!D51),"")</f>
        <v/>
      </c>
      <c r="AF129" s="17" t="str">
        <f>IF('05 - DEPENDENCIES'!A51&lt;&gt;"",IF('05 - DEPENDENCIES'!AE51="","",'05 - DEPENDENCIES'!AE51),"")</f>
        <v/>
      </c>
      <c r="AG129" t="str">
        <f>IF('05 - DEPENDENCIES'!A51&lt;&gt;"",IF('05 - DEPENDENCIES'!I51="","",'05 - DEPENDENCIES'!I51),"")</f>
        <v/>
      </c>
      <c r="AH129" t="str">
        <f>IF('05 - DEPENDENCIES'!A51&lt;&gt;"",IF('05 - DEPENDENCIES'!J51="","",'05 - DEPENDENCIES'!J51),"")</f>
        <v/>
      </c>
      <c r="AI129" t="str">
        <f>IF('05 - DEPENDENCIES'!A51&lt;&gt;"",IF('05 - DEPENDENCIES'!AI51="","",'05 - DEPENDENCIES'!AI51),"")</f>
        <v/>
      </c>
      <c r="AJ129" t="str">
        <f>IF('05 - DEPENDENCIES'!A51&lt;&gt;"","05 - DEPENDENCIES row 51","")</f>
        <v/>
      </c>
      <c r="AK129">
        <f>IF(AND('05 - DEPENDENCIES'!A51&lt;&gt;"",'05 - DEPENDENCIES'!AI51="Unresolved",OR(AC129&lt;&gt;"",AD129&lt;&gt;"")),IF(Y129="Critical",1,IF(Y129="Review",2,3))*100000000+IF(ISNUMBER(AF129),AF129,99999)*1000+ROW(),999999999999)</f>
        <v>999999999999</v>
      </c>
      <c r="AL129">
        <f t="shared" si="9"/>
        <v>999999999999</v>
      </c>
      <c r="AM129">
        <f t="shared" si="13"/>
        <v>999999999999</v>
      </c>
      <c r="AN129">
        <f t="shared" si="10"/>
        <v>999999999999</v>
      </c>
      <c r="AO129">
        <f t="shared" si="11"/>
        <v>999999999999</v>
      </c>
      <c r="AP129">
        <f t="shared" si="8"/>
        <v>999999999999</v>
      </c>
      <c r="AQ129">
        <f>IF(AND(ISNUMBER(AK129),Z129="Dependencies",OR('05 - DEPENDENCIES'!O51="Critical",'05 - DEPENDENCIES'!O51="High")),AK129,999999999999)</f>
        <v>999999999999</v>
      </c>
      <c r="AR129">
        <f t="shared" si="12"/>
        <v>0</v>
      </c>
    </row>
    <row r="130" spans="25:44">
      <c r="Y130" t="str">
        <f>IF('05 - DEPENDENCIES'!A52&lt;&gt;"",IF('05 - DEPENDENCIES'!F52="","",'05 - DEPENDENCIES'!F52),"")</f>
        <v/>
      </c>
      <c r="Z130" t="str">
        <f>IF('05 - DEPENDENCIES'!A52&lt;&gt;"","Dependencies","")</f>
        <v/>
      </c>
      <c r="AA130" t="str">
        <f>IF('05 - DEPENDENCIES'!A52&lt;&gt;"",IF('05 - DEPENDENCIES'!A52="","",'05 - DEPENDENCIES'!A52),"")</f>
        <v/>
      </c>
      <c r="AB130" t="str">
        <f>IF('05 - DEPENDENCIES'!A52&lt;&gt;"",IF('05 - DEPENDENCIES'!B52="","",'05 - DEPENDENCIES'!B52),"")</f>
        <v/>
      </c>
      <c r="AC130" t="str">
        <f>IF('05 - DEPENDENCIES'!A52&lt;&gt;"",IF('05 - DEPENDENCIES'!G52="","",'05 - DEPENDENCIES'!G52),"")</f>
        <v/>
      </c>
      <c r="AD130" t="str">
        <f>IF('05 - DEPENDENCIES'!A52&lt;&gt;"",IF('05 - DEPENDENCIES'!H52="","",'05 - DEPENDENCIES'!H52),"")</f>
        <v/>
      </c>
      <c r="AE130" t="str">
        <f>IF('05 - DEPENDENCIES'!A52&lt;&gt;"",IF('05 - DEPENDENCIES'!D52="","",'05 - DEPENDENCIES'!D52),"")</f>
        <v/>
      </c>
      <c r="AF130" s="17" t="str">
        <f>IF('05 - DEPENDENCIES'!A52&lt;&gt;"",IF('05 - DEPENDENCIES'!AE52="","",'05 - DEPENDENCIES'!AE52),"")</f>
        <v/>
      </c>
      <c r="AG130" t="str">
        <f>IF('05 - DEPENDENCIES'!A52&lt;&gt;"",IF('05 - DEPENDENCIES'!I52="","",'05 - DEPENDENCIES'!I52),"")</f>
        <v/>
      </c>
      <c r="AH130" t="str">
        <f>IF('05 - DEPENDENCIES'!A52&lt;&gt;"",IF('05 - DEPENDENCIES'!J52="","",'05 - DEPENDENCIES'!J52),"")</f>
        <v/>
      </c>
      <c r="AI130" t="str">
        <f>IF('05 - DEPENDENCIES'!A52&lt;&gt;"",IF('05 - DEPENDENCIES'!AI52="","",'05 - DEPENDENCIES'!AI52),"")</f>
        <v/>
      </c>
      <c r="AJ130" t="str">
        <f>IF('05 - DEPENDENCIES'!A52&lt;&gt;"","05 - DEPENDENCIES row 52","")</f>
        <v/>
      </c>
      <c r="AK130">
        <f>IF(AND('05 - DEPENDENCIES'!A52&lt;&gt;"",'05 - DEPENDENCIES'!AI52="Unresolved",OR(AC130&lt;&gt;"",AD130&lt;&gt;"")),IF(Y130="Critical",1,IF(Y130="Review",2,3))*100000000+IF(ISNUMBER(AF130),AF130,99999)*1000+ROW(),999999999999)</f>
        <v>999999999999</v>
      </c>
      <c r="AL130">
        <f t="shared" si="9"/>
        <v>999999999999</v>
      </c>
      <c r="AM130">
        <f t="shared" si="13"/>
        <v>999999999999</v>
      </c>
      <c r="AN130">
        <f t="shared" si="10"/>
        <v>999999999999</v>
      </c>
      <c r="AO130">
        <f t="shared" si="11"/>
        <v>999999999999</v>
      </c>
      <c r="AP130">
        <f t="shared" si="8"/>
        <v>999999999999</v>
      </c>
      <c r="AQ130">
        <f>IF(AND(ISNUMBER(AK130),Z130="Dependencies",OR('05 - DEPENDENCIES'!O52="Critical",'05 - DEPENDENCIES'!O52="High")),AK130,999999999999)</f>
        <v>999999999999</v>
      </c>
      <c r="AR130">
        <f t="shared" si="12"/>
        <v>0</v>
      </c>
    </row>
    <row r="131" spans="25:44">
      <c r="Y131" t="str">
        <f>IF('05 - DEPENDENCIES'!A53&lt;&gt;"",IF('05 - DEPENDENCIES'!F53="","",'05 - DEPENDENCIES'!F53),"")</f>
        <v/>
      </c>
      <c r="Z131" t="str">
        <f>IF('05 - DEPENDENCIES'!A53&lt;&gt;"","Dependencies","")</f>
        <v/>
      </c>
      <c r="AA131" t="str">
        <f>IF('05 - DEPENDENCIES'!A53&lt;&gt;"",IF('05 - DEPENDENCIES'!A53="","",'05 - DEPENDENCIES'!A53),"")</f>
        <v/>
      </c>
      <c r="AB131" t="str">
        <f>IF('05 - DEPENDENCIES'!A53&lt;&gt;"",IF('05 - DEPENDENCIES'!B53="","",'05 - DEPENDENCIES'!B53),"")</f>
        <v/>
      </c>
      <c r="AC131" t="str">
        <f>IF('05 - DEPENDENCIES'!A53&lt;&gt;"",IF('05 - DEPENDENCIES'!G53="","",'05 - DEPENDENCIES'!G53),"")</f>
        <v/>
      </c>
      <c r="AD131" t="str">
        <f>IF('05 - DEPENDENCIES'!A53&lt;&gt;"",IF('05 - DEPENDENCIES'!H53="","",'05 - DEPENDENCIES'!H53),"")</f>
        <v/>
      </c>
      <c r="AE131" t="str">
        <f>IF('05 - DEPENDENCIES'!A53&lt;&gt;"",IF('05 - DEPENDENCIES'!D53="","",'05 - DEPENDENCIES'!D53),"")</f>
        <v/>
      </c>
      <c r="AF131" s="17" t="str">
        <f>IF('05 - DEPENDENCIES'!A53&lt;&gt;"",IF('05 - DEPENDENCIES'!AE53="","",'05 - DEPENDENCIES'!AE53),"")</f>
        <v/>
      </c>
      <c r="AG131" t="str">
        <f>IF('05 - DEPENDENCIES'!A53&lt;&gt;"",IF('05 - DEPENDENCIES'!I53="","",'05 - DEPENDENCIES'!I53),"")</f>
        <v/>
      </c>
      <c r="AH131" t="str">
        <f>IF('05 - DEPENDENCIES'!A53&lt;&gt;"",IF('05 - DEPENDENCIES'!J53="","",'05 - DEPENDENCIES'!J53),"")</f>
        <v/>
      </c>
      <c r="AI131" t="str">
        <f>IF('05 - DEPENDENCIES'!A53&lt;&gt;"",IF('05 - DEPENDENCIES'!AI53="","",'05 - DEPENDENCIES'!AI53),"")</f>
        <v/>
      </c>
      <c r="AJ131" t="str">
        <f>IF('05 - DEPENDENCIES'!A53&lt;&gt;"","05 - DEPENDENCIES row 53","")</f>
        <v/>
      </c>
      <c r="AK131">
        <f>IF(AND('05 - DEPENDENCIES'!A53&lt;&gt;"",'05 - DEPENDENCIES'!AI53="Unresolved",OR(AC131&lt;&gt;"",AD131&lt;&gt;"")),IF(Y131="Critical",1,IF(Y131="Review",2,3))*100000000+IF(ISNUMBER(AF131),AF131,99999)*1000+ROW(),999999999999)</f>
        <v>999999999999</v>
      </c>
      <c r="AL131">
        <f t="shared" si="9"/>
        <v>999999999999</v>
      </c>
      <c r="AM131">
        <f t="shared" si="13"/>
        <v>999999999999</v>
      </c>
      <c r="AN131">
        <f t="shared" si="10"/>
        <v>999999999999</v>
      </c>
      <c r="AO131">
        <f t="shared" si="11"/>
        <v>999999999999</v>
      </c>
      <c r="AP131">
        <f t="shared" si="8"/>
        <v>999999999999</v>
      </c>
      <c r="AQ131">
        <f>IF(AND(ISNUMBER(AK131),Z131="Dependencies",OR('05 - DEPENDENCIES'!O53="Critical",'05 - DEPENDENCIES'!O53="High")),AK131,999999999999)</f>
        <v>999999999999</v>
      </c>
      <c r="AR131">
        <f t="shared" si="12"/>
        <v>0</v>
      </c>
    </row>
    <row r="132" spans="25:44">
      <c r="Y132" t="str">
        <f>IF('05 - DEPENDENCIES'!A54&lt;&gt;"",IF('05 - DEPENDENCIES'!F54="","",'05 - DEPENDENCIES'!F54),"")</f>
        <v/>
      </c>
      <c r="Z132" t="str">
        <f>IF('05 - DEPENDENCIES'!A54&lt;&gt;"","Dependencies","")</f>
        <v/>
      </c>
      <c r="AA132" t="str">
        <f>IF('05 - DEPENDENCIES'!A54&lt;&gt;"",IF('05 - DEPENDENCIES'!A54="","",'05 - DEPENDENCIES'!A54),"")</f>
        <v/>
      </c>
      <c r="AB132" t="str">
        <f>IF('05 - DEPENDENCIES'!A54&lt;&gt;"",IF('05 - DEPENDENCIES'!B54="","",'05 - DEPENDENCIES'!B54),"")</f>
        <v/>
      </c>
      <c r="AC132" t="str">
        <f>IF('05 - DEPENDENCIES'!A54&lt;&gt;"",IF('05 - DEPENDENCIES'!G54="","",'05 - DEPENDENCIES'!G54),"")</f>
        <v/>
      </c>
      <c r="AD132" t="str">
        <f>IF('05 - DEPENDENCIES'!A54&lt;&gt;"",IF('05 - DEPENDENCIES'!H54="","",'05 - DEPENDENCIES'!H54),"")</f>
        <v/>
      </c>
      <c r="AE132" t="str">
        <f>IF('05 - DEPENDENCIES'!A54&lt;&gt;"",IF('05 - DEPENDENCIES'!D54="","",'05 - DEPENDENCIES'!D54),"")</f>
        <v/>
      </c>
      <c r="AF132" s="17" t="str">
        <f>IF('05 - DEPENDENCIES'!A54&lt;&gt;"",IF('05 - DEPENDENCIES'!AE54="","",'05 - DEPENDENCIES'!AE54),"")</f>
        <v/>
      </c>
      <c r="AG132" t="str">
        <f>IF('05 - DEPENDENCIES'!A54&lt;&gt;"",IF('05 - DEPENDENCIES'!I54="","",'05 - DEPENDENCIES'!I54),"")</f>
        <v/>
      </c>
      <c r="AH132" t="str">
        <f>IF('05 - DEPENDENCIES'!A54&lt;&gt;"",IF('05 - DEPENDENCIES'!J54="","",'05 - DEPENDENCIES'!J54),"")</f>
        <v/>
      </c>
      <c r="AI132" t="str">
        <f>IF('05 - DEPENDENCIES'!A54&lt;&gt;"",IF('05 - DEPENDENCIES'!AI54="","",'05 - DEPENDENCIES'!AI54),"")</f>
        <v/>
      </c>
      <c r="AJ132" t="str">
        <f>IF('05 - DEPENDENCIES'!A54&lt;&gt;"","05 - DEPENDENCIES row 54","")</f>
        <v/>
      </c>
      <c r="AK132">
        <f>IF(AND('05 - DEPENDENCIES'!A54&lt;&gt;"",'05 - DEPENDENCIES'!AI54="Unresolved",OR(AC132&lt;&gt;"",AD132&lt;&gt;"")),IF(Y132="Critical",1,IF(Y132="Review",2,3))*100000000+IF(ISNUMBER(AF132),AF132,99999)*1000+ROW(),999999999999)</f>
        <v>999999999999</v>
      </c>
      <c r="AL132">
        <f t="shared" si="9"/>
        <v>999999999999</v>
      </c>
      <c r="AM132">
        <f t="shared" si="13"/>
        <v>999999999999</v>
      </c>
      <c r="AN132">
        <f t="shared" si="10"/>
        <v>999999999999</v>
      </c>
      <c r="AO132">
        <f t="shared" si="11"/>
        <v>999999999999</v>
      </c>
      <c r="AP132">
        <f t="shared" si="8"/>
        <v>999999999999</v>
      </c>
      <c r="AQ132">
        <f>IF(AND(ISNUMBER(AK132),Z132="Dependencies",OR('05 - DEPENDENCIES'!O54="Critical",'05 - DEPENDENCIES'!O54="High")),AK132,999999999999)</f>
        <v>999999999999</v>
      </c>
      <c r="AR132">
        <f t="shared" si="12"/>
        <v>0</v>
      </c>
    </row>
    <row r="133" spans="25:44">
      <c r="Y133" t="str">
        <f>IF('05 - DEPENDENCIES'!A55&lt;&gt;"",IF('05 - DEPENDENCIES'!F55="","",'05 - DEPENDENCIES'!F55),"")</f>
        <v/>
      </c>
      <c r="Z133" t="str">
        <f>IF('05 - DEPENDENCIES'!A55&lt;&gt;"","Dependencies","")</f>
        <v/>
      </c>
      <c r="AA133" t="str">
        <f>IF('05 - DEPENDENCIES'!A55&lt;&gt;"",IF('05 - DEPENDENCIES'!A55="","",'05 - DEPENDENCIES'!A55),"")</f>
        <v/>
      </c>
      <c r="AB133" t="str">
        <f>IF('05 - DEPENDENCIES'!A55&lt;&gt;"",IF('05 - DEPENDENCIES'!B55="","",'05 - DEPENDENCIES'!B55),"")</f>
        <v/>
      </c>
      <c r="AC133" t="str">
        <f>IF('05 - DEPENDENCIES'!A55&lt;&gt;"",IF('05 - DEPENDENCIES'!G55="","",'05 - DEPENDENCIES'!G55),"")</f>
        <v/>
      </c>
      <c r="AD133" t="str">
        <f>IF('05 - DEPENDENCIES'!A55&lt;&gt;"",IF('05 - DEPENDENCIES'!H55="","",'05 - DEPENDENCIES'!H55),"")</f>
        <v/>
      </c>
      <c r="AE133" t="str">
        <f>IF('05 - DEPENDENCIES'!A55&lt;&gt;"",IF('05 - DEPENDENCIES'!D55="","",'05 - DEPENDENCIES'!D55),"")</f>
        <v/>
      </c>
      <c r="AF133" s="17" t="str">
        <f>IF('05 - DEPENDENCIES'!A55&lt;&gt;"",IF('05 - DEPENDENCIES'!AE55="","",'05 - DEPENDENCIES'!AE55),"")</f>
        <v/>
      </c>
      <c r="AG133" t="str">
        <f>IF('05 - DEPENDENCIES'!A55&lt;&gt;"",IF('05 - DEPENDENCIES'!I55="","",'05 - DEPENDENCIES'!I55),"")</f>
        <v/>
      </c>
      <c r="AH133" t="str">
        <f>IF('05 - DEPENDENCIES'!A55&lt;&gt;"",IF('05 - DEPENDENCIES'!J55="","",'05 - DEPENDENCIES'!J55),"")</f>
        <v/>
      </c>
      <c r="AI133" t="str">
        <f>IF('05 - DEPENDENCIES'!A55&lt;&gt;"",IF('05 - DEPENDENCIES'!AI55="","",'05 - DEPENDENCIES'!AI55),"")</f>
        <v/>
      </c>
      <c r="AJ133" t="str">
        <f>IF('05 - DEPENDENCIES'!A55&lt;&gt;"","05 - DEPENDENCIES row 55","")</f>
        <v/>
      </c>
      <c r="AK133">
        <f>IF(AND('05 - DEPENDENCIES'!A55&lt;&gt;"",'05 - DEPENDENCIES'!AI55="Unresolved",OR(AC133&lt;&gt;"",AD133&lt;&gt;"")),IF(Y133="Critical",1,IF(Y133="Review",2,3))*100000000+IF(ISNUMBER(AF133),AF133,99999)*1000+ROW(),999999999999)</f>
        <v>999999999999</v>
      </c>
      <c r="AL133">
        <f t="shared" si="9"/>
        <v>999999999999</v>
      </c>
      <c r="AM133">
        <f t="shared" si="13"/>
        <v>999999999999</v>
      </c>
      <c r="AN133">
        <f t="shared" si="10"/>
        <v>999999999999</v>
      </c>
      <c r="AO133">
        <f t="shared" si="11"/>
        <v>999999999999</v>
      </c>
      <c r="AP133">
        <f t="shared" si="8"/>
        <v>999999999999</v>
      </c>
      <c r="AQ133">
        <f>IF(AND(ISNUMBER(AK133),Z133="Dependencies",OR('05 - DEPENDENCIES'!O55="Critical",'05 - DEPENDENCIES'!O55="High")),AK133,999999999999)</f>
        <v>999999999999</v>
      </c>
      <c r="AR133">
        <f t="shared" si="12"/>
        <v>0</v>
      </c>
    </row>
    <row r="134" spans="25:44">
      <c r="Y134" t="str">
        <f>IF('05 - DEPENDENCIES'!A56&lt;&gt;"",IF('05 - DEPENDENCIES'!F56="","",'05 - DEPENDENCIES'!F56),"")</f>
        <v/>
      </c>
      <c r="Z134" t="str">
        <f>IF('05 - DEPENDENCIES'!A56&lt;&gt;"","Dependencies","")</f>
        <v/>
      </c>
      <c r="AA134" t="str">
        <f>IF('05 - DEPENDENCIES'!A56&lt;&gt;"",IF('05 - DEPENDENCIES'!A56="","",'05 - DEPENDENCIES'!A56),"")</f>
        <v/>
      </c>
      <c r="AB134" t="str">
        <f>IF('05 - DEPENDENCIES'!A56&lt;&gt;"",IF('05 - DEPENDENCIES'!B56="","",'05 - DEPENDENCIES'!B56),"")</f>
        <v/>
      </c>
      <c r="AC134" t="str">
        <f>IF('05 - DEPENDENCIES'!A56&lt;&gt;"",IF('05 - DEPENDENCIES'!G56="","",'05 - DEPENDENCIES'!G56),"")</f>
        <v/>
      </c>
      <c r="AD134" t="str">
        <f>IF('05 - DEPENDENCIES'!A56&lt;&gt;"",IF('05 - DEPENDENCIES'!H56="","",'05 - DEPENDENCIES'!H56),"")</f>
        <v/>
      </c>
      <c r="AE134" t="str">
        <f>IF('05 - DEPENDENCIES'!A56&lt;&gt;"",IF('05 - DEPENDENCIES'!D56="","",'05 - DEPENDENCIES'!D56),"")</f>
        <v/>
      </c>
      <c r="AF134" s="17" t="str">
        <f>IF('05 - DEPENDENCIES'!A56&lt;&gt;"",IF('05 - DEPENDENCIES'!AE56="","",'05 - DEPENDENCIES'!AE56),"")</f>
        <v/>
      </c>
      <c r="AG134" t="str">
        <f>IF('05 - DEPENDENCIES'!A56&lt;&gt;"",IF('05 - DEPENDENCIES'!I56="","",'05 - DEPENDENCIES'!I56),"")</f>
        <v/>
      </c>
      <c r="AH134" t="str">
        <f>IF('05 - DEPENDENCIES'!A56&lt;&gt;"",IF('05 - DEPENDENCIES'!J56="","",'05 - DEPENDENCIES'!J56),"")</f>
        <v/>
      </c>
      <c r="AI134" t="str">
        <f>IF('05 - DEPENDENCIES'!A56&lt;&gt;"",IF('05 - DEPENDENCIES'!AI56="","",'05 - DEPENDENCIES'!AI56),"")</f>
        <v/>
      </c>
      <c r="AJ134" t="str">
        <f>IF('05 - DEPENDENCIES'!A56&lt;&gt;"","05 - DEPENDENCIES row 56","")</f>
        <v/>
      </c>
      <c r="AK134">
        <f>IF(AND('05 - DEPENDENCIES'!A56&lt;&gt;"",'05 - DEPENDENCIES'!AI56="Unresolved",OR(AC134&lt;&gt;"",AD134&lt;&gt;"")),IF(Y134="Critical",1,IF(Y134="Review",2,3))*100000000+IF(ISNUMBER(AF134),AF134,99999)*1000+ROW(),999999999999)</f>
        <v>999999999999</v>
      </c>
      <c r="AL134">
        <f t="shared" si="9"/>
        <v>999999999999</v>
      </c>
      <c r="AM134">
        <f t="shared" si="13"/>
        <v>999999999999</v>
      </c>
      <c r="AN134">
        <f t="shared" si="10"/>
        <v>999999999999</v>
      </c>
      <c r="AO134">
        <f t="shared" si="11"/>
        <v>999999999999</v>
      </c>
      <c r="AP134">
        <f t="shared" si="8"/>
        <v>999999999999</v>
      </c>
      <c r="AQ134">
        <f>IF(AND(ISNUMBER(AK134),Z134="Dependencies",OR('05 - DEPENDENCIES'!O56="Critical",'05 - DEPENDENCIES'!O56="High")),AK134,999999999999)</f>
        <v>999999999999</v>
      </c>
      <c r="AR134">
        <f t="shared" si="12"/>
        <v>0</v>
      </c>
    </row>
    <row r="135" spans="25:44">
      <c r="Y135" t="str">
        <f>IF('05 - DEPENDENCIES'!A57&lt;&gt;"",IF('05 - DEPENDENCIES'!F57="","",'05 - DEPENDENCIES'!F57),"")</f>
        <v/>
      </c>
      <c r="Z135" t="str">
        <f>IF('05 - DEPENDENCIES'!A57&lt;&gt;"","Dependencies","")</f>
        <v/>
      </c>
      <c r="AA135" t="str">
        <f>IF('05 - DEPENDENCIES'!A57&lt;&gt;"",IF('05 - DEPENDENCIES'!A57="","",'05 - DEPENDENCIES'!A57),"")</f>
        <v/>
      </c>
      <c r="AB135" t="str">
        <f>IF('05 - DEPENDENCIES'!A57&lt;&gt;"",IF('05 - DEPENDENCIES'!B57="","",'05 - DEPENDENCIES'!B57),"")</f>
        <v/>
      </c>
      <c r="AC135" t="str">
        <f>IF('05 - DEPENDENCIES'!A57&lt;&gt;"",IF('05 - DEPENDENCIES'!G57="","",'05 - DEPENDENCIES'!G57),"")</f>
        <v/>
      </c>
      <c r="AD135" t="str">
        <f>IF('05 - DEPENDENCIES'!A57&lt;&gt;"",IF('05 - DEPENDENCIES'!H57="","",'05 - DEPENDENCIES'!H57),"")</f>
        <v/>
      </c>
      <c r="AE135" t="str">
        <f>IF('05 - DEPENDENCIES'!A57&lt;&gt;"",IF('05 - DEPENDENCIES'!D57="","",'05 - DEPENDENCIES'!D57),"")</f>
        <v/>
      </c>
      <c r="AF135" s="17" t="str">
        <f>IF('05 - DEPENDENCIES'!A57&lt;&gt;"",IF('05 - DEPENDENCIES'!AE57="","",'05 - DEPENDENCIES'!AE57),"")</f>
        <v/>
      </c>
      <c r="AG135" t="str">
        <f>IF('05 - DEPENDENCIES'!A57&lt;&gt;"",IF('05 - DEPENDENCIES'!I57="","",'05 - DEPENDENCIES'!I57),"")</f>
        <v/>
      </c>
      <c r="AH135" t="str">
        <f>IF('05 - DEPENDENCIES'!A57&lt;&gt;"",IF('05 - DEPENDENCIES'!J57="","",'05 - DEPENDENCIES'!J57),"")</f>
        <v/>
      </c>
      <c r="AI135" t="str">
        <f>IF('05 - DEPENDENCIES'!A57&lt;&gt;"",IF('05 - DEPENDENCIES'!AI57="","",'05 - DEPENDENCIES'!AI57),"")</f>
        <v/>
      </c>
      <c r="AJ135" t="str">
        <f>IF('05 - DEPENDENCIES'!A57&lt;&gt;"","05 - DEPENDENCIES row 57","")</f>
        <v/>
      </c>
      <c r="AK135">
        <f>IF(AND('05 - DEPENDENCIES'!A57&lt;&gt;"",'05 - DEPENDENCIES'!AI57="Unresolved",OR(AC135&lt;&gt;"",AD135&lt;&gt;"")),IF(Y135="Critical",1,IF(Y135="Review",2,3))*100000000+IF(ISNUMBER(AF135),AF135,99999)*1000+ROW(),999999999999)</f>
        <v>999999999999</v>
      </c>
      <c r="AL135">
        <f t="shared" si="9"/>
        <v>999999999999</v>
      </c>
      <c r="AM135">
        <f t="shared" si="13"/>
        <v>999999999999</v>
      </c>
      <c r="AN135">
        <f t="shared" si="10"/>
        <v>999999999999</v>
      </c>
      <c r="AO135">
        <f t="shared" si="11"/>
        <v>999999999999</v>
      </c>
      <c r="AP135">
        <f t="shared" si="8"/>
        <v>999999999999</v>
      </c>
      <c r="AQ135">
        <f>IF(AND(ISNUMBER(AK135),Z135="Dependencies",OR('05 - DEPENDENCIES'!O57="Critical",'05 - DEPENDENCIES'!O57="High")),AK135,999999999999)</f>
        <v>999999999999</v>
      </c>
      <c r="AR135">
        <f t="shared" si="12"/>
        <v>0</v>
      </c>
    </row>
    <row r="136" spans="25:44">
      <c r="Y136" t="str">
        <f>IF('05 - DEPENDENCIES'!A58&lt;&gt;"",IF('05 - DEPENDENCIES'!F58="","",'05 - DEPENDENCIES'!F58),"")</f>
        <v/>
      </c>
      <c r="Z136" t="str">
        <f>IF('05 - DEPENDENCIES'!A58&lt;&gt;"","Dependencies","")</f>
        <v/>
      </c>
      <c r="AA136" t="str">
        <f>IF('05 - DEPENDENCIES'!A58&lt;&gt;"",IF('05 - DEPENDENCIES'!A58="","",'05 - DEPENDENCIES'!A58),"")</f>
        <v/>
      </c>
      <c r="AB136" t="str">
        <f>IF('05 - DEPENDENCIES'!A58&lt;&gt;"",IF('05 - DEPENDENCIES'!B58="","",'05 - DEPENDENCIES'!B58),"")</f>
        <v/>
      </c>
      <c r="AC136" t="str">
        <f>IF('05 - DEPENDENCIES'!A58&lt;&gt;"",IF('05 - DEPENDENCIES'!G58="","",'05 - DEPENDENCIES'!G58),"")</f>
        <v/>
      </c>
      <c r="AD136" t="str">
        <f>IF('05 - DEPENDENCIES'!A58&lt;&gt;"",IF('05 - DEPENDENCIES'!H58="","",'05 - DEPENDENCIES'!H58),"")</f>
        <v/>
      </c>
      <c r="AE136" t="str">
        <f>IF('05 - DEPENDENCIES'!A58&lt;&gt;"",IF('05 - DEPENDENCIES'!D58="","",'05 - DEPENDENCIES'!D58),"")</f>
        <v/>
      </c>
      <c r="AF136" s="17" t="str">
        <f>IF('05 - DEPENDENCIES'!A58&lt;&gt;"",IF('05 - DEPENDENCIES'!AE58="","",'05 - DEPENDENCIES'!AE58),"")</f>
        <v/>
      </c>
      <c r="AG136" t="str">
        <f>IF('05 - DEPENDENCIES'!A58&lt;&gt;"",IF('05 - DEPENDENCIES'!I58="","",'05 - DEPENDENCIES'!I58),"")</f>
        <v/>
      </c>
      <c r="AH136" t="str">
        <f>IF('05 - DEPENDENCIES'!A58&lt;&gt;"",IF('05 - DEPENDENCIES'!J58="","",'05 - DEPENDENCIES'!J58),"")</f>
        <v/>
      </c>
      <c r="AI136" t="str">
        <f>IF('05 - DEPENDENCIES'!A58&lt;&gt;"",IF('05 - DEPENDENCIES'!AI58="","",'05 - DEPENDENCIES'!AI58),"")</f>
        <v/>
      </c>
      <c r="AJ136" t="str">
        <f>IF('05 - DEPENDENCIES'!A58&lt;&gt;"","05 - DEPENDENCIES row 58","")</f>
        <v/>
      </c>
      <c r="AK136">
        <f>IF(AND('05 - DEPENDENCIES'!A58&lt;&gt;"",'05 - DEPENDENCIES'!AI58="Unresolved",OR(AC136&lt;&gt;"",AD136&lt;&gt;"")),IF(Y136="Critical",1,IF(Y136="Review",2,3))*100000000+IF(ISNUMBER(AF136),AF136,99999)*1000+ROW(),999999999999)</f>
        <v>999999999999</v>
      </c>
      <c r="AL136">
        <f t="shared" si="9"/>
        <v>999999999999</v>
      </c>
      <c r="AM136">
        <f t="shared" si="13"/>
        <v>999999999999</v>
      </c>
      <c r="AN136">
        <f t="shared" si="10"/>
        <v>999999999999</v>
      </c>
      <c r="AO136">
        <f t="shared" si="11"/>
        <v>999999999999</v>
      </c>
      <c r="AP136">
        <f t="shared" si="8"/>
        <v>999999999999</v>
      </c>
      <c r="AQ136">
        <f>IF(AND(ISNUMBER(AK136),Z136="Dependencies",OR('05 - DEPENDENCIES'!O58="Critical",'05 - DEPENDENCIES'!O58="High")),AK136,999999999999)</f>
        <v>999999999999</v>
      </c>
      <c r="AR136">
        <f t="shared" si="12"/>
        <v>0</v>
      </c>
    </row>
    <row r="137" spans="25:44">
      <c r="Y137" t="str">
        <f>IF('06 - FLOW'!A9&lt;&gt;"",IF('06 - FLOW'!F9="","",'06 - FLOW'!F9),"")</f>
        <v>Review</v>
      </c>
      <c r="Z137" t="str">
        <f>IF('06 - FLOW'!A9&lt;&gt;"","Flow","")</f>
        <v>Flow</v>
      </c>
      <c r="AA137" t="str">
        <f>IF('06 - FLOW'!A9&lt;&gt;"",IF('06 - FLOW'!A9="","",'06 - FLOW'!A9),"")</f>
        <v>F-01</v>
      </c>
      <c r="AB137" t="str">
        <f>IF('06 - FLOW'!A9&lt;&gt;"",IF('06 - FLOW'!B9="","",'06 - FLOW'!B9),"")</f>
        <v>Production-path acceptance</v>
      </c>
      <c r="AC137" t="str">
        <f>IF('06 - FLOW'!A9&lt;&gt;"",IF('06 - FLOW'!G9="","",'06 - FLOW'!G9),"")</f>
        <v xml:space="preserve">BLOCKER AGE THRESHOLD REPEATED MILESTONE MOVEMENT </v>
      </c>
      <c r="AD137" t="str">
        <f>IF('06 - FLOW'!A9&lt;&gt;"",IF('06 - FLOW'!H9="","",'06 - FLOW'!H9),"")</f>
        <v>Resolve the constraint and shorten the next evidence loop.</v>
      </c>
      <c r="AE137" t="str">
        <f>IF('06 - FLOW'!A9&lt;&gt;"",IF('06 - FLOW'!D9="","",'06 - FLOW'!D9),"")</f>
        <v>Network owner</v>
      </c>
      <c r="AF137" s="17">
        <f>IF('06 - FLOW'!A9&lt;&gt;"",IF('06 - FLOW'!E9="","",'06 - FLOW'!E9),"")</f>
        <v>46290</v>
      </c>
      <c r="AG137" t="str">
        <f>IF('06 - FLOW'!A9&lt;&gt;"",IF('06 - FLOW'!I9="","",'06 - FLOW'!I9),"")</f>
        <v>Release evidence remains unavailable</v>
      </c>
      <c r="AH137" t="str">
        <f>IF('06 - FLOW'!A9&lt;&gt;"",IF('06 - FLOW'!J9="","",'06 - FLOW'!J9),"")</f>
        <v>Witnessed routing and failover tests</v>
      </c>
      <c r="AI137" t="str">
        <f>IF('06 - FLOW'!A9&lt;&gt;"",IF('06 - FLOW'!C9="","",'06 - FLOW'!C9),"")</f>
        <v>Acceptance queue</v>
      </c>
      <c r="AJ137" t="str">
        <f>IF('06 - FLOW'!A9&lt;&gt;"","06 - FLOW row 9","")</f>
        <v>06 - FLOW row 9</v>
      </c>
      <c r="AK137">
        <f>IF(AND('06 - FLOW'!A9&lt;&gt;"",OR('06 - FLOW'!C9&lt;&gt;"Accepted",'06 - FLOW'!G9&lt;&gt;""),OR(AC137&lt;&gt;"",AD137&lt;&gt;"")),IF(Y137="Critical",1,IF(Y137="Review",2,3))*100000000+IF(ISNUMBER(AF137),AF137,99999)*1000+ROW(),999999999999)</f>
        <v>246290137</v>
      </c>
      <c r="AL137">
        <f t="shared" si="9"/>
        <v>999999999999</v>
      </c>
      <c r="AM137">
        <f t="shared" si="13"/>
        <v>999999999999</v>
      </c>
      <c r="AN137">
        <f t="shared" si="10"/>
        <v>999999999999</v>
      </c>
      <c r="AO137">
        <f t="shared" si="11"/>
        <v>46290137</v>
      </c>
      <c r="AP137">
        <f t="shared" si="8"/>
        <v>999999999999</v>
      </c>
      <c r="AQ137">
        <f t="shared" ref="AQ137:AQ200" si="14">IF(AND(ISNUMBER(AK137),Z137="Dependencies",FALSE),AK137,999999999999)</f>
        <v>999999999999</v>
      </c>
      <c r="AR137">
        <f t="shared" si="12"/>
        <v>1</v>
      </c>
    </row>
    <row r="138" spans="25:44">
      <c r="Y138" t="str">
        <f>IF('06 - FLOW'!A10&lt;&gt;"",IF('06 - FLOW'!F10="","",'06 - FLOW'!F10),"")</f>
        <v/>
      </c>
      <c r="Z138" t="str">
        <f>IF('06 - FLOW'!A10&lt;&gt;"","Flow","")</f>
        <v/>
      </c>
      <c r="AA138" t="str">
        <f>IF('06 - FLOW'!A10&lt;&gt;"",IF('06 - FLOW'!A10="","",'06 - FLOW'!A10),"")</f>
        <v/>
      </c>
      <c r="AB138" t="str">
        <f>IF('06 - FLOW'!A10&lt;&gt;"",IF('06 - FLOW'!B10="","",'06 - FLOW'!B10),"")</f>
        <v/>
      </c>
      <c r="AC138" t="str">
        <f>IF('06 - FLOW'!A10&lt;&gt;"",IF('06 - FLOW'!G10="","",'06 - FLOW'!G10),"")</f>
        <v/>
      </c>
      <c r="AD138" t="str">
        <f>IF('06 - FLOW'!A10&lt;&gt;"",IF('06 - FLOW'!H10="","",'06 - FLOW'!H10),"")</f>
        <v/>
      </c>
      <c r="AE138" t="str">
        <f>IF('06 - FLOW'!A10&lt;&gt;"",IF('06 - FLOW'!D10="","",'06 - FLOW'!D10),"")</f>
        <v/>
      </c>
      <c r="AF138" s="17" t="str">
        <f>IF('06 - FLOW'!A10&lt;&gt;"",IF('06 - FLOW'!E10="","",'06 - FLOW'!E10),"")</f>
        <v/>
      </c>
      <c r="AG138" t="str">
        <f>IF('06 - FLOW'!A10&lt;&gt;"",IF('06 - FLOW'!I10="","",'06 - FLOW'!I10),"")</f>
        <v/>
      </c>
      <c r="AH138" t="str">
        <f>IF('06 - FLOW'!A10&lt;&gt;"",IF('06 - FLOW'!J10="","",'06 - FLOW'!J10),"")</f>
        <v/>
      </c>
      <c r="AI138" t="str">
        <f>IF('06 - FLOW'!A10&lt;&gt;"",IF('06 - FLOW'!C10="","",'06 - FLOW'!C10),"")</f>
        <v/>
      </c>
      <c r="AJ138" t="str">
        <f>IF('06 - FLOW'!A10&lt;&gt;"","06 - FLOW row 10","")</f>
        <v/>
      </c>
      <c r="AK138">
        <f>IF(AND('06 - FLOW'!A10&lt;&gt;"",OR('06 - FLOW'!C10&lt;&gt;"Accepted",'06 - FLOW'!G10&lt;&gt;""),OR(AC138&lt;&gt;"",AD138&lt;&gt;"")),IF(Y138="Critical",1,IF(Y138="Review",2,3))*100000000+IF(ISNUMBER(AF138),AF138,99999)*1000+ROW(),999999999999)</f>
        <v>999999999999</v>
      </c>
      <c r="AL138">
        <f t="shared" si="9"/>
        <v>999999999999</v>
      </c>
      <c r="AM138">
        <f t="shared" si="13"/>
        <v>999999999999</v>
      </c>
      <c r="AN138">
        <f t="shared" si="10"/>
        <v>999999999999</v>
      </c>
      <c r="AO138">
        <f t="shared" si="11"/>
        <v>999999999999</v>
      </c>
      <c r="AP138">
        <f t="shared" si="8"/>
        <v>999999999999</v>
      </c>
      <c r="AQ138">
        <f t="shared" si="14"/>
        <v>999999999999</v>
      </c>
      <c r="AR138">
        <f t="shared" si="12"/>
        <v>0</v>
      </c>
    </row>
    <row r="139" spans="25:44">
      <c r="Y139" t="str">
        <f>IF('06 - FLOW'!A11&lt;&gt;"",IF('06 - FLOW'!F11="","",'06 - FLOW'!F11),"")</f>
        <v/>
      </c>
      <c r="Z139" t="str">
        <f>IF('06 - FLOW'!A11&lt;&gt;"","Flow","")</f>
        <v/>
      </c>
      <c r="AA139" t="str">
        <f>IF('06 - FLOW'!A11&lt;&gt;"",IF('06 - FLOW'!A11="","",'06 - FLOW'!A11),"")</f>
        <v/>
      </c>
      <c r="AB139" t="str">
        <f>IF('06 - FLOW'!A11&lt;&gt;"",IF('06 - FLOW'!B11="","",'06 - FLOW'!B11),"")</f>
        <v/>
      </c>
      <c r="AC139" t="str">
        <f>IF('06 - FLOW'!A11&lt;&gt;"",IF('06 - FLOW'!G11="","",'06 - FLOW'!G11),"")</f>
        <v/>
      </c>
      <c r="AD139" t="str">
        <f>IF('06 - FLOW'!A11&lt;&gt;"",IF('06 - FLOW'!H11="","",'06 - FLOW'!H11),"")</f>
        <v/>
      </c>
      <c r="AE139" t="str">
        <f>IF('06 - FLOW'!A11&lt;&gt;"",IF('06 - FLOW'!D11="","",'06 - FLOW'!D11),"")</f>
        <v/>
      </c>
      <c r="AF139" s="17" t="str">
        <f>IF('06 - FLOW'!A11&lt;&gt;"",IF('06 - FLOW'!E11="","",'06 - FLOW'!E11),"")</f>
        <v/>
      </c>
      <c r="AG139" t="str">
        <f>IF('06 - FLOW'!A11&lt;&gt;"",IF('06 - FLOW'!I11="","",'06 - FLOW'!I11),"")</f>
        <v/>
      </c>
      <c r="AH139" t="str">
        <f>IF('06 - FLOW'!A11&lt;&gt;"",IF('06 - FLOW'!J11="","",'06 - FLOW'!J11),"")</f>
        <v/>
      </c>
      <c r="AI139" t="str">
        <f>IF('06 - FLOW'!A11&lt;&gt;"",IF('06 - FLOW'!C11="","",'06 - FLOW'!C11),"")</f>
        <v/>
      </c>
      <c r="AJ139" t="str">
        <f>IF('06 - FLOW'!A11&lt;&gt;"","06 - FLOW row 11","")</f>
        <v/>
      </c>
      <c r="AK139">
        <f>IF(AND('06 - FLOW'!A11&lt;&gt;"",OR('06 - FLOW'!C11&lt;&gt;"Accepted",'06 - FLOW'!G11&lt;&gt;""),OR(AC139&lt;&gt;"",AD139&lt;&gt;"")),IF(Y139="Critical",1,IF(Y139="Review",2,3))*100000000+IF(ISNUMBER(AF139),AF139,99999)*1000+ROW(),999999999999)</f>
        <v>999999999999</v>
      </c>
      <c r="AL139">
        <f t="shared" si="9"/>
        <v>999999999999</v>
      </c>
      <c r="AM139">
        <f t="shared" si="13"/>
        <v>999999999999</v>
      </c>
      <c r="AN139">
        <f t="shared" si="10"/>
        <v>999999999999</v>
      </c>
      <c r="AO139">
        <f t="shared" si="11"/>
        <v>999999999999</v>
      </c>
      <c r="AP139">
        <f t="shared" si="8"/>
        <v>999999999999</v>
      </c>
      <c r="AQ139">
        <f t="shared" si="14"/>
        <v>999999999999</v>
      </c>
      <c r="AR139">
        <f t="shared" si="12"/>
        <v>0</v>
      </c>
    </row>
    <row r="140" spans="25:44">
      <c r="Y140" t="str">
        <f>IF('06 - FLOW'!A12&lt;&gt;"",IF('06 - FLOW'!F12="","",'06 - FLOW'!F12),"")</f>
        <v/>
      </c>
      <c r="Z140" t="str">
        <f>IF('06 - FLOW'!A12&lt;&gt;"","Flow","")</f>
        <v/>
      </c>
      <c r="AA140" t="str">
        <f>IF('06 - FLOW'!A12&lt;&gt;"",IF('06 - FLOW'!A12="","",'06 - FLOW'!A12),"")</f>
        <v/>
      </c>
      <c r="AB140" t="str">
        <f>IF('06 - FLOW'!A12&lt;&gt;"",IF('06 - FLOW'!B12="","",'06 - FLOW'!B12),"")</f>
        <v/>
      </c>
      <c r="AC140" t="str">
        <f>IF('06 - FLOW'!A12&lt;&gt;"",IF('06 - FLOW'!G12="","",'06 - FLOW'!G12),"")</f>
        <v/>
      </c>
      <c r="AD140" t="str">
        <f>IF('06 - FLOW'!A12&lt;&gt;"",IF('06 - FLOW'!H12="","",'06 - FLOW'!H12),"")</f>
        <v/>
      </c>
      <c r="AE140" t="str">
        <f>IF('06 - FLOW'!A12&lt;&gt;"",IF('06 - FLOW'!D12="","",'06 - FLOW'!D12),"")</f>
        <v/>
      </c>
      <c r="AF140" s="17" t="str">
        <f>IF('06 - FLOW'!A12&lt;&gt;"",IF('06 - FLOW'!E12="","",'06 - FLOW'!E12),"")</f>
        <v/>
      </c>
      <c r="AG140" t="str">
        <f>IF('06 - FLOW'!A12&lt;&gt;"",IF('06 - FLOW'!I12="","",'06 - FLOW'!I12),"")</f>
        <v/>
      </c>
      <c r="AH140" t="str">
        <f>IF('06 - FLOW'!A12&lt;&gt;"",IF('06 - FLOW'!J12="","",'06 - FLOW'!J12),"")</f>
        <v/>
      </c>
      <c r="AI140" t="str">
        <f>IF('06 - FLOW'!A12&lt;&gt;"",IF('06 - FLOW'!C12="","",'06 - FLOW'!C12),"")</f>
        <v/>
      </c>
      <c r="AJ140" t="str">
        <f>IF('06 - FLOW'!A12&lt;&gt;"","06 - FLOW row 12","")</f>
        <v/>
      </c>
      <c r="AK140">
        <f>IF(AND('06 - FLOW'!A12&lt;&gt;"",OR('06 - FLOW'!C12&lt;&gt;"Accepted",'06 - FLOW'!G12&lt;&gt;""),OR(AC140&lt;&gt;"",AD140&lt;&gt;"")),IF(Y140="Critical",1,IF(Y140="Review",2,3))*100000000+IF(ISNUMBER(AF140),AF140,99999)*1000+ROW(),999999999999)</f>
        <v>999999999999</v>
      </c>
      <c r="AL140">
        <f t="shared" si="9"/>
        <v>999999999999</v>
      </c>
      <c r="AM140">
        <f t="shared" si="13"/>
        <v>999999999999</v>
      </c>
      <c r="AN140">
        <f t="shared" si="10"/>
        <v>999999999999</v>
      </c>
      <c r="AO140">
        <f t="shared" si="11"/>
        <v>999999999999</v>
      </c>
      <c r="AP140">
        <f t="shared" si="8"/>
        <v>999999999999</v>
      </c>
      <c r="AQ140">
        <f t="shared" si="14"/>
        <v>999999999999</v>
      </c>
      <c r="AR140">
        <f t="shared" si="12"/>
        <v>0</v>
      </c>
    </row>
    <row r="141" spans="25:44">
      <c r="Y141" t="str">
        <f>IF('06 - FLOW'!A13&lt;&gt;"",IF('06 - FLOW'!F13="","",'06 - FLOW'!F13),"")</f>
        <v/>
      </c>
      <c r="Z141" t="str">
        <f>IF('06 - FLOW'!A13&lt;&gt;"","Flow","")</f>
        <v/>
      </c>
      <c r="AA141" t="str">
        <f>IF('06 - FLOW'!A13&lt;&gt;"",IF('06 - FLOW'!A13="","",'06 - FLOW'!A13),"")</f>
        <v/>
      </c>
      <c r="AB141" t="str">
        <f>IF('06 - FLOW'!A13&lt;&gt;"",IF('06 - FLOW'!B13="","",'06 - FLOW'!B13),"")</f>
        <v/>
      </c>
      <c r="AC141" t="str">
        <f>IF('06 - FLOW'!A13&lt;&gt;"",IF('06 - FLOW'!G13="","",'06 - FLOW'!G13),"")</f>
        <v/>
      </c>
      <c r="AD141" t="str">
        <f>IF('06 - FLOW'!A13&lt;&gt;"",IF('06 - FLOW'!H13="","",'06 - FLOW'!H13),"")</f>
        <v/>
      </c>
      <c r="AE141" t="str">
        <f>IF('06 - FLOW'!A13&lt;&gt;"",IF('06 - FLOW'!D13="","",'06 - FLOW'!D13),"")</f>
        <v/>
      </c>
      <c r="AF141" s="17" t="str">
        <f>IF('06 - FLOW'!A13&lt;&gt;"",IF('06 - FLOW'!E13="","",'06 - FLOW'!E13),"")</f>
        <v/>
      </c>
      <c r="AG141" t="str">
        <f>IF('06 - FLOW'!A13&lt;&gt;"",IF('06 - FLOW'!I13="","",'06 - FLOW'!I13),"")</f>
        <v/>
      </c>
      <c r="AH141" t="str">
        <f>IF('06 - FLOW'!A13&lt;&gt;"",IF('06 - FLOW'!J13="","",'06 - FLOW'!J13),"")</f>
        <v/>
      </c>
      <c r="AI141" t="str">
        <f>IF('06 - FLOW'!A13&lt;&gt;"",IF('06 - FLOW'!C13="","",'06 - FLOW'!C13),"")</f>
        <v/>
      </c>
      <c r="AJ141" t="str">
        <f>IF('06 - FLOW'!A13&lt;&gt;"","06 - FLOW row 13","")</f>
        <v/>
      </c>
      <c r="AK141">
        <f>IF(AND('06 - FLOW'!A13&lt;&gt;"",OR('06 - FLOW'!C13&lt;&gt;"Accepted",'06 - FLOW'!G13&lt;&gt;""),OR(AC141&lt;&gt;"",AD141&lt;&gt;"")),IF(Y141="Critical",1,IF(Y141="Review",2,3))*100000000+IF(ISNUMBER(AF141),AF141,99999)*1000+ROW(),999999999999)</f>
        <v>999999999999</v>
      </c>
      <c r="AL141">
        <f t="shared" si="9"/>
        <v>999999999999</v>
      </c>
      <c r="AM141">
        <f t="shared" si="13"/>
        <v>999999999999</v>
      </c>
      <c r="AN141">
        <f t="shared" si="10"/>
        <v>999999999999</v>
      </c>
      <c r="AO141">
        <f t="shared" si="11"/>
        <v>999999999999</v>
      </c>
      <c r="AP141">
        <f t="shared" si="8"/>
        <v>999999999999</v>
      </c>
      <c r="AQ141">
        <f t="shared" si="14"/>
        <v>999999999999</v>
      </c>
      <c r="AR141">
        <f t="shared" si="12"/>
        <v>0</v>
      </c>
    </row>
    <row r="142" spans="25:44">
      <c r="Y142" t="str">
        <f>IF('06 - FLOW'!A14&lt;&gt;"",IF('06 - FLOW'!F14="","",'06 - FLOW'!F14),"")</f>
        <v/>
      </c>
      <c r="Z142" t="str">
        <f>IF('06 - FLOW'!A14&lt;&gt;"","Flow","")</f>
        <v/>
      </c>
      <c r="AA142" t="str">
        <f>IF('06 - FLOW'!A14&lt;&gt;"",IF('06 - FLOW'!A14="","",'06 - FLOW'!A14),"")</f>
        <v/>
      </c>
      <c r="AB142" t="str">
        <f>IF('06 - FLOW'!A14&lt;&gt;"",IF('06 - FLOW'!B14="","",'06 - FLOW'!B14),"")</f>
        <v/>
      </c>
      <c r="AC142" t="str">
        <f>IF('06 - FLOW'!A14&lt;&gt;"",IF('06 - FLOW'!G14="","",'06 - FLOW'!G14),"")</f>
        <v/>
      </c>
      <c r="AD142" t="str">
        <f>IF('06 - FLOW'!A14&lt;&gt;"",IF('06 - FLOW'!H14="","",'06 - FLOW'!H14),"")</f>
        <v/>
      </c>
      <c r="AE142" t="str">
        <f>IF('06 - FLOW'!A14&lt;&gt;"",IF('06 - FLOW'!D14="","",'06 - FLOW'!D14),"")</f>
        <v/>
      </c>
      <c r="AF142" s="17" t="str">
        <f>IF('06 - FLOW'!A14&lt;&gt;"",IF('06 - FLOW'!E14="","",'06 - FLOW'!E14),"")</f>
        <v/>
      </c>
      <c r="AG142" t="str">
        <f>IF('06 - FLOW'!A14&lt;&gt;"",IF('06 - FLOW'!I14="","",'06 - FLOW'!I14),"")</f>
        <v/>
      </c>
      <c r="AH142" t="str">
        <f>IF('06 - FLOW'!A14&lt;&gt;"",IF('06 - FLOW'!J14="","",'06 - FLOW'!J14),"")</f>
        <v/>
      </c>
      <c r="AI142" t="str">
        <f>IF('06 - FLOW'!A14&lt;&gt;"",IF('06 - FLOW'!C14="","",'06 - FLOW'!C14),"")</f>
        <v/>
      </c>
      <c r="AJ142" t="str">
        <f>IF('06 - FLOW'!A14&lt;&gt;"","06 - FLOW row 14","")</f>
        <v/>
      </c>
      <c r="AK142">
        <f>IF(AND('06 - FLOW'!A14&lt;&gt;"",OR('06 - FLOW'!C14&lt;&gt;"Accepted",'06 - FLOW'!G14&lt;&gt;""),OR(AC142&lt;&gt;"",AD142&lt;&gt;"")),IF(Y142="Critical",1,IF(Y142="Review",2,3))*100000000+IF(ISNUMBER(AF142),AF142,99999)*1000+ROW(),999999999999)</f>
        <v>999999999999</v>
      </c>
      <c r="AL142">
        <f t="shared" si="9"/>
        <v>999999999999</v>
      </c>
      <c r="AM142">
        <f t="shared" si="13"/>
        <v>999999999999</v>
      </c>
      <c r="AN142">
        <f t="shared" si="10"/>
        <v>999999999999</v>
      </c>
      <c r="AO142">
        <f t="shared" si="11"/>
        <v>999999999999</v>
      </c>
      <c r="AP142">
        <f t="shared" si="8"/>
        <v>999999999999</v>
      </c>
      <c r="AQ142">
        <f t="shared" si="14"/>
        <v>999999999999</v>
      </c>
      <c r="AR142">
        <f t="shared" si="12"/>
        <v>0</v>
      </c>
    </row>
    <row r="143" spans="25:44">
      <c r="Y143" t="str">
        <f>IF('06 - FLOW'!A15&lt;&gt;"",IF('06 - FLOW'!F15="","",'06 - FLOW'!F15),"")</f>
        <v/>
      </c>
      <c r="Z143" t="str">
        <f>IF('06 - FLOW'!A15&lt;&gt;"","Flow","")</f>
        <v/>
      </c>
      <c r="AA143" t="str">
        <f>IF('06 - FLOW'!A15&lt;&gt;"",IF('06 - FLOW'!A15="","",'06 - FLOW'!A15),"")</f>
        <v/>
      </c>
      <c r="AB143" t="str">
        <f>IF('06 - FLOW'!A15&lt;&gt;"",IF('06 - FLOW'!B15="","",'06 - FLOW'!B15),"")</f>
        <v/>
      </c>
      <c r="AC143" t="str">
        <f>IF('06 - FLOW'!A15&lt;&gt;"",IF('06 - FLOW'!G15="","",'06 - FLOW'!G15),"")</f>
        <v/>
      </c>
      <c r="AD143" t="str">
        <f>IF('06 - FLOW'!A15&lt;&gt;"",IF('06 - FLOW'!H15="","",'06 - FLOW'!H15),"")</f>
        <v/>
      </c>
      <c r="AE143" t="str">
        <f>IF('06 - FLOW'!A15&lt;&gt;"",IF('06 - FLOW'!D15="","",'06 - FLOW'!D15),"")</f>
        <v/>
      </c>
      <c r="AF143" s="17" t="str">
        <f>IF('06 - FLOW'!A15&lt;&gt;"",IF('06 - FLOW'!E15="","",'06 - FLOW'!E15),"")</f>
        <v/>
      </c>
      <c r="AG143" t="str">
        <f>IF('06 - FLOW'!A15&lt;&gt;"",IF('06 - FLOW'!I15="","",'06 - FLOW'!I15),"")</f>
        <v/>
      </c>
      <c r="AH143" t="str">
        <f>IF('06 - FLOW'!A15&lt;&gt;"",IF('06 - FLOW'!J15="","",'06 - FLOW'!J15),"")</f>
        <v/>
      </c>
      <c r="AI143" t="str">
        <f>IF('06 - FLOW'!A15&lt;&gt;"",IF('06 - FLOW'!C15="","",'06 - FLOW'!C15),"")</f>
        <v/>
      </c>
      <c r="AJ143" t="str">
        <f>IF('06 - FLOW'!A15&lt;&gt;"","06 - FLOW row 15","")</f>
        <v/>
      </c>
      <c r="AK143">
        <f>IF(AND('06 - FLOW'!A15&lt;&gt;"",OR('06 - FLOW'!C15&lt;&gt;"Accepted",'06 - FLOW'!G15&lt;&gt;""),OR(AC143&lt;&gt;"",AD143&lt;&gt;"")),IF(Y143="Critical",1,IF(Y143="Review",2,3))*100000000+IF(ISNUMBER(AF143),AF143,99999)*1000+ROW(),999999999999)</f>
        <v>999999999999</v>
      </c>
      <c r="AL143">
        <f t="shared" si="9"/>
        <v>999999999999</v>
      </c>
      <c r="AM143">
        <f t="shared" si="13"/>
        <v>999999999999</v>
      </c>
      <c r="AN143">
        <f t="shared" si="10"/>
        <v>999999999999</v>
      </c>
      <c r="AO143">
        <f t="shared" si="11"/>
        <v>999999999999</v>
      </c>
      <c r="AP143">
        <f t="shared" si="8"/>
        <v>999999999999</v>
      </c>
      <c r="AQ143">
        <f t="shared" si="14"/>
        <v>999999999999</v>
      </c>
      <c r="AR143">
        <f t="shared" si="12"/>
        <v>0</v>
      </c>
    </row>
    <row r="144" spans="25:44">
      <c r="Y144" t="str">
        <f>IF('06 - FLOW'!A16&lt;&gt;"",IF('06 - FLOW'!F16="","",'06 - FLOW'!F16),"")</f>
        <v/>
      </c>
      <c r="Z144" t="str">
        <f>IF('06 - FLOW'!A16&lt;&gt;"","Flow","")</f>
        <v/>
      </c>
      <c r="AA144" t="str">
        <f>IF('06 - FLOW'!A16&lt;&gt;"",IF('06 - FLOW'!A16="","",'06 - FLOW'!A16),"")</f>
        <v/>
      </c>
      <c r="AB144" t="str">
        <f>IF('06 - FLOW'!A16&lt;&gt;"",IF('06 - FLOW'!B16="","",'06 - FLOW'!B16),"")</f>
        <v/>
      </c>
      <c r="AC144" t="str">
        <f>IF('06 - FLOW'!A16&lt;&gt;"",IF('06 - FLOW'!G16="","",'06 - FLOW'!G16),"")</f>
        <v/>
      </c>
      <c r="AD144" t="str">
        <f>IF('06 - FLOW'!A16&lt;&gt;"",IF('06 - FLOW'!H16="","",'06 - FLOW'!H16),"")</f>
        <v/>
      </c>
      <c r="AE144" t="str">
        <f>IF('06 - FLOW'!A16&lt;&gt;"",IF('06 - FLOW'!D16="","",'06 - FLOW'!D16),"")</f>
        <v/>
      </c>
      <c r="AF144" s="17" t="str">
        <f>IF('06 - FLOW'!A16&lt;&gt;"",IF('06 - FLOW'!E16="","",'06 - FLOW'!E16),"")</f>
        <v/>
      </c>
      <c r="AG144" t="str">
        <f>IF('06 - FLOW'!A16&lt;&gt;"",IF('06 - FLOW'!I16="","",'06 - FLOW'!I16),"")</f>
        <v/>
      </c>
      <c r="AH144" t="str">
        <f>IF('06 - FLOW'!A16&lt;&gt;"",IF('06 - FLOW'!J16="","",'06 - FLOW'!J16),"")</f>
        <v/>
      </c>
      <c r="AI144" t="str">
        <f>IF('06 - FLOW'!A16&lt;&gt;"",IF('06 - FLOW'!C16="","",'06 - FLOW'!C16),"")</f>
        <v/>
      </c>
      <c r="AJ144" t="str">
        <f>IF('06 - FLOW'!A16&lt;&gt;"","06 - FLOW row 16","")</f>
        <v/>
      </c>
      <c r="AK144">
        <f>IF(AND('06 - FLOW'!A16&lt;&gt;"",OR('06 - FLOW'!C16&lt;&gt;"Accepted",'06 - FLOW'!G16&lt;&gt;""),OR(AC144&lt;&gt;"",AD144&lt;&gt;"")),IF(Y144="Critical",1,IF(Y144="Review",2,3))*100000000+IF(ISNUMBER(AF144),AF144,99999)*1000+ROW(),999999999999)</f>
        <v>999999999999</v>
      </c>
      <c r="AL144">
        <f t="shared" si="9"/>
        <v>999999999999</v>
      </c>
      <c r="AM144">
        <f t="shared" si="13"/>
        <v>999999999999</v>
      </c>
      <c r="AN144">
        <f t="shared" si="10"/>
        <v>999999999999</v>
      </c>
      <c r="AO144">
        <f t="shared" si="11"/>
        <v>999999999999</v>
      </c>
      <c r="AP144">
        <f t="shared" si="8"/>
        <v>999999999999</v>
      </c>
      <c r="AQ144">
        <f t="shared" si="14"/>
        <v>999999999999</v>
      </c>
      <c r="AR144">
        <f t="shared" si="12"/>
        <v>0</v>
      </c>
    </row>
    <row r="145" spans="25:44">
      <c r="Y145" t="str">
        <f>IF('06 - FLOW'!A17&lt;&gt;"",IF('06 - FLOW'!F17="","",'06 - FLOW'!F17),"")</f>
        <v/>
      </c>
      <c r="Z145" t="str">
        <f>IF('06 - FLOW'!A17&lt;&gt;"","Flow","")</f>
        <v/>
      </c>
      <c r="AA145" t="str">
        <f>IF('06 - FLOW'!A17&lt;&gt;"",IF('06 - FLOW'!A17="","",'06 - FLOW'!A17),"")</f>
        <v/>
      </c>
      <c r="AB145" t="str">
        <f>IF('06 - FLOW'!A17&lt;&gt;"",IF('06 - FLOW'!B17="","",'06 - FLOW'!B17),"")</f>
        <v/>
      </c>
      <c r="AC145" t="str">
        <f>IF('06 - FLOW'!A17&lt;&gt;"",IF('06 - FLOW'!G17="","",'06 - FLOW'!G17),"")</f>
        <v/>
      </c>
      <c r="AD145" t="str">
        <f>IF('06 - FLOW'!A17&lt;&gt;"",IF('06 - FLOW'!H17="","",'06 - FLOW'!H17),"")</f>
        <v/>
      </c>
      <c r="AE145" t="str">
        <f>IF('06 - FLOW'!A17&lt;&gt;"",IF('06 - FLOW'!D17="","",'06 - FLOW'!D17),"")</f>
        <v/>
      </c>
      <c r="AF145" s="17" t="str">
        <f>IF('06 - FLOW'!A17&lt;&gt;"",IF('06 - FLOW'!E17="","",'06 - FLOW'!E17),"")</f>
        <v/>
      </c>
      <c r="AG145" t="str">
        <f>IF('06 - FLOW'!A17&lt;&gt;"",IF('06 - FLOW'!I17="","",'06 - FLOW'!I17),"")</f>
        <v/>
      </c>
      <c r="AH145" t="str">
        <f>IF('06 - FLOW'!A17&lt;&gt;"",IF('06 - FLOW'!J17="","",'06 - FLOW'!J17),"")</f>
        <v/>
      </c>
      <c r="AI145" t="str">
        <f>IF('06 - FLOW'!A17&lt;&gt;"",IF('06 - FLOW'!C17="","",'06 - FLOW'!C17),"")</f>
        <v/>
      </c>
      <c r="AJ145" t="str">
        <f>IF('06 - FLOW'!A17&lt;&gt;"","06 - FLOW row 17","")</f>
        <v/>
      </c>
      <c r="AK145">
        <f>IF(AND('06 - FLOW'!A17&lt;&gt;"",OR('06 - FLOW'!C17&lt;&gt;"Accepted",'06 - FLOW'!G17&lt;&gt;""),OR(AC145&lt;&gt;"",AD145&lt;&gt;"")),IF(Y145="Critical",1,IF(Y145="Review",2,3))*100000000+IF(ISNUMBER(AF145),AF145,99999)*1000+ROW(),999999999999)</f>
        <v>999999999999</v>
      </c>
      <c r="AL145">
        <f t="shared" si="9"/>
        <v>999999999999</v>
      </c>
      <c r="AM145">
        <f t="shared" si="13"/>
        <v>999999999999</v>
      </c>
      <c r="AN145">
        <f t="shared" si="10"/>
        <v>999999999999</v>
      </c>
      <c r="AO145">
        <f t="shared" si="11"/>
        <v>999999999999</v>
      </c>
      <c r="AP145">
        <f t="shared" si="8"/>
        <v>999999999999</v>
      </c>
      <c r="AQ145">
        <f t="shared" si="14"/>
        <v>999999999999</v>
      </c>
      <c r="AR145">
        <f t="shared" si="12"/>
        <v>0</v>
      </c>
    </row>
    <row r="146" spans="25:44">
      <c r="Y146" t="str">
        <f>IF('06 - FLOW'!A18&lt;&gt;"",IF('06 - FLOW'!F18="","",'06 - FLOW'!F18),"")</f>
        <v/>
      </c>
      <c r="Z146" t="str">
        <f>IF('06 - FLOW'!A18&lt;&gt;"","Flow","")</f>
        <v/>
      </c>
      <c r="AA146" t="str">
        <f>IF('06 - FLOW'!A18&lt;&gt;"",IF('06 - FLOW'!A18="","",'06 - FLOW'!A18),"")</f>
        <v/>
      </c>
      <c r="AB146" t="str">
        <f>IF('06 - FLOW'!A18&lt;&gt;"",IF('06 - FLOW'!B18="","",'06 - FLOW'!B18),"")</f>
        <v/>
      </c>
      <c r="AC146" t="str">
        <f>IF('06 - FLOW'!A18&lt;&gt;"",IF('06 - FLOW'!G18="","",'06 - FLOW'!G18),"")</f>
        <v/>
      </c>
      <c r="AD146" t="str">
        <f>IF('06 - FLOW'!A18&lt;&gt;"",IF('06 - FLOW'!H18="","",'06 - FLOW'!H18),"")</f>
        <v/>
      </c>
      <c r="AE146" t="str">
        <f>IF('06 - FLOW'!A18&lt;&gt;"",IF('06 - FLOW'!D18="","",'06 - FLOW'!D18),"")</f>
        <v/>
      </c>
      <c r="AF146" s="17" t="str">
        <f>IF('06 - FLOW'!A18&lt;&gt;"",IF('06 - FLOW'!E18="","",'06 - FLOW'!E18),"")</f>
        <v/>
      </c>
      <c r="AG146" t="str">
        <f>IF('06 - FLOW'!A18&lt;&gt;"",IF('06 - FLOW'!I18="","",'06 - FLOW'!I18),"")</f>
        <v/>
      </c>
      <c r="AH146" t="str">
        <f>IF('06 - FLOW'!A18&lt;&gt;"",IF('06 - FLOW'!J18="","",'06 - FLOW'!J18),"")</f>
        <v/>
      </c>
      <c r="AI146" t="str">
        <f>IF('06 - FLOW'!A18&lt;&gt;"",IF('06 - FLOW'!C18="","",'06 - FLOW'!C18),"")</f>
        <v/>
      </c>
      <c r="AJ146" t="str">
        <f>IF('06 - FLOW'!A18&lt;&gt;"","06 - FLOW row 18","")</f>
        <v/>
      </c>
      <c r="AK146">
        <f>IF(AND('06 - FLOW'!A18&lt;&gt;"",OR('06 - FLOW'!C18&lt;&gt;"Accepted",'06 - FLOW'!G18&lt;&gt;""),OR(AC146&lt;&gt;"",AD146&lt;&gt;"")),IF(Y146="Critical",1,IF(Y146="Review",2,3))*100000000+IF(ISNUMBER(AF146),AF146,99999)*1000+ROW(),999999999999)</f>
        <v>999999999999</v>
      </c>
      <c r="AL146">
        <f t="shared" si="9"/>
        <v>999999999999</v>
      </c>
      <c r="AM146">
        <f t="shared" si="13"/>
        <v>999999999999</v>
      </c>
      <c r="AN146">
        <f t="shared" si="10"/>
        <v>999999999999</v>
      </c>
      <c r="AO146">
        <f t="shared" si="11"/>
        <v>999999999999</v>
      </c>
      <c r="AP146">
        <f t="shared" si="8"/>
        <v>999999999999</v>
      </c>
      <c r="AQ146">
        <f t="shared" si="14"/>
        <v>999999999999</v>
      </c>
      <c r="AR146">
        <f t="shared" si="12"/>
        <v>0</v>
      </c>
    </row>
    <row r="147" spans="25:44">
      <c r="Y147" t="str">
        <f>IF('06 - FLOW'!A19&lt;&gt;"",IF('06 - FLOW'!F19="","",'06 - FLOW'!F19),"")</f>
        <v/>
      </c>
      <c r="Z147" t="str">
        <f>IF('06 - FLOW'!A19&lt;&gt;"","Flow","")</f>
        <v/>
      </c>
      <c r="AA147" t="str">
        <f>IF('06 - FLOW'!A19&lt;&gt;"",IF('06 - FLOW'!A19="","",'06 - FLOW'!A19),"")</f>
        <v/>
      </c>
      <c r="AB147" t="str">
        <f>IF('06 - FLOW'!A19&lt;&gt;"",IF('06 - FLOW'!B19="","",'06 - FLOW'!B19),"")</f>
        <v/>
      </c>
      <c r="AC147" t="str">
        <f>IF('06 - FLOW'!A19&lt;&gt;"",IF('06 - FLOW'!G19="","",'06 - FLOW'!G19),"")</f>
        <v/>
      </c>
      <c r="AD147" t="str">
        <f>IF('06 - FLOW'!A19&lt;&gt;"",IF('06 - FLOW'!H19="","",'06 - FLOW'!H19),"")</f>
        <v/>
      </c>
      <c r="AE147" t="str">
        <f>IF('06 - FLOW'!A19&lt;&gt;"",IF('06 - FLOW'!D19="","",'06 - FLOW'!D19),"")</f>
        <v/>
      </c>
      <c r="AF147" s="17" t="str">
        <f>IF('06 - FLOW'!A19&lt;&gt;"",IF('06 - FLOW'!E19="","",'06 - FLOW'!E19),"")</f>
        <v/>
      </c>
      <c r="AG147" t="str">
        <f>IF('06 - FLOW'!A19&lt;&gt;"",IF('06 - FLOW'!I19="","",'06 - FLOW'!I19),"")</f>
        <v/>
      </c>
      <c r="AH147" t="str">
        <f>IF('06 - FLOW'!A19&lt;&gt;"",IF('06 - FLOW'!J19="","",'06 - FLOW'!J19),"")</f>
        <v/>
      </c>
      <c r="AI147" t="str">
        <f>IF('06 - FLOW'!A19&lt;&gt;"",IF('06 - FLOW'!C19="","",'06 - FLOW'!C19),"")</f>
        <v/>
      </c>
      <c r="AJ147" t="str">
        <f>IF('06 - FLOW'!A19&lt;&gt;"","06 - FLOW row 19","")</f>
        <v/>
      </c>
      <c r="AK147">
        <f>IF(AND('06 - FLOW'!A19&lt;&gt;"",OR('06 - FLOW'!C19&lt;&gt;"Accepted",'06 - FLOW'!G19&lt;&gt;""),OR(AC147&lt;&gt;"",AD147&lt;&gt;"")),IF(Y147="Critical",1,IF(Y147="Review",2,3))*100000000+IF(ISNUMBER(AF147),AF147,99999)*1000+ROW(),999999999999)</f>
        <v>999999999999</v>
      </c>
      <c r="AL147">
        <f t="shared" si="9"/>
        <v>999999999999</v>
      </c>
      <c r="AM147">
        <f t="shared" si="13"/>
        <v>999999999999</v>
      </c>
      <c r="AN147">
        <f t="shared" si="10"/>
        <v>999999999999</v>
      </c>
      <c r="AO147">
        <f t="shared" si="11"/>
        <v>999999999999</v>
      </c>
      <c r="AP147">
        <f t="shared" si="8"/>
        <v>999999999999</v>
      </c>
      <c r="AQ147">
        <f t="shared" si="14"/>
        <v>999999999999</v>
      </c>
      <c r="AR147">
        <f t="shared" si="12"/>
        <v>0</v>
      </c>
    </row>
    <row r="148" spans="25:44">
      <c r="Y148" t="str">
        <f>IF('06 - FLOW'!A20&lt;&gt;"",IF('06 - FLOW'!F20="","",'06 - FLOW'!F20),"")</f>
        <v/>
      </c>
      <c r="Z148" t="str">
        <f>IF('06 - FLOW'!A20&lt;&gt;"","Flow","")</f>
        <v/>
      </c>
      <c r="AA148" t="str">
        <f>IF('06 - FLOW'!A20&lt;&gt;"",IF('06 - FLOW'!A20="","",'06 - FLOW'!A20),"")</f>
        <v/>
      </c>
      <c r="AB148" t="str">
        <f>IF('06 - FLOW'!A20&lt;&gt;"",IF('06 - FLOW'!B20="","",'06 - FLOW'!B20),"")</f>
        <v/>
      </c>
      <c r="AC148" t="str">
        <f>IF('06 - FLOW'!A20&lt;&gt;"",IF('06 - FLOW'!G20="","",'06 - FLOW'!G20),"")</f>
        <v/>
      </c>
      <c r="AD148" t="str">
        <f>IF('06 - FLOW'!A20&lt;&gt;"",IF('06 - FLOW'!H20="","",'06 - FLOW'!H20),"")</f>
        <v/>
      </c>
      <c r="AE148" t="str">
        <f>IF('06 - FLOW'!A20&lt;&gt;"",IF('06 - FLOW'!D20="","",'06 - FLOW'!D20),"")</f>
        <v/>
      </c>
      <c r="AF148" s="17" t="str">
        <f>IF('06 - FLOW'!A20&lt;&gt;"",IF('06 - FLOW'!E20="","",'06 - FLOW'!E20),"")</f>
        <v/>
      </c>
      <c r="AG148" t="str">
        <f>IF('06 - FLOW'!A20&lt;&gt;"",IF('06 - FLOW'!I20="","",'06 - FLOW'!I20),"")</f>
        <v/>
      </c>
      <c r="AH148" t="str">
        <f>IF('06 - FLOW'!A20&lt;&gt;"",IF('06 - FLOW'!J20="","",'06 - FLOW'!J20),"")</f>
        <v/>
      </c>
      <c r="AI148" t="str">
        <f>IF('06 - FLOW'!A20&lt;&gt;"",IF('06 - FLOW'!C20="","",'06 - FLOW'!C20),"")</f>
        <v/>
      </c>
      <c r="AJ148" t="str">
        <f>IF('06 - FLOW'!A20&lt;&gt;"","06 - FLOW row 20","")</f>
        <v/>
      </c>
      <c r="AK148">
        <f>IF(AND('06 - FLOW'!A20&lt;&gt;"",OR('06 - FLOW'!C20&lt;&gt;"Accepted",'06 - FLOW'!G20&lt;&gt;""),OR(AC148&lt;&gt;"",AD148&lt;&gt;"")),IF(Y148="Critical",1,IF(Y148="Review",2,3))*100000000+IF(ISNUMBER(AF148),AF148,99999)*1000+ROW(),999999999999)</f>
        <v>999999999999</v>
      </c>
      <c r="AL148">
        <f t="shared" si="9"/>
        <v>999999999999</v>
      </c>
      <c r="AM148">
        <f t="shared" si="13"/>
        <v>999999999999</v>
      </c>
      <c r="AN148">
        <f t="shared" si="10"/>
        <v>999999999999</v>
      </c>
      <c r="AO148">
        <f t="shared" si="11"/>
        <v>999999999999</v>
      </c>
      <c r="AP148">
        <f t="shared" si="8"/>
        <v>999999999999</v>
      </c>
      <c r="AQ148">
        <f t="shared" si="14"/>
        <v>999999999999</v>
      </c>
      <c r="AR148">
        <f t="shared" si="12"/>
        <v>0</v>
      </c>
    </row>
    <row r="149" spans="25:44">
      <c r="Y149" t="str">
        <f>IF('06 - FLOW'!A21&lt;&gt;"",IF('06 - FLOW'!F21="","",'06 - FLOW'!F21),"")</f>
        <v/>
      </c>
      <c r="Z149" t="str">
        <f>IF('06 - FLOW'!A21&lt;&gt;"","Flow","")</f>
        <v/>
      </c>
      <c r="AA149" t="str">
        <f>IF('06 - FLOW'!A21&lt;&gt;"",IF('06 - FLOW'!A21="","",'06 - FLOW'!A21),"")</f>
        <v/>
      </c>
      <c r="AB149" t="str">
        <f>IF('06 - FLOW'!A21&lt;&gt;"",IF('06 - FLOW'!B21="","",'06 - FLOW'!B21),"")</f>
        <v/>
      </c>
      <c r="AC149" t="str">
        <f>IF('06 - FLOW'!A21&lt;&gt;"",IF('06 - FLOW'!G21="","",'06 - FLOW'!G21),"")</f>
        <v/>
      </c>
      <c r="AD149" t="str">
        <f>IF('06 - FLOW'!A21&lt;&gt;"",IF('06 - FLOW'!H21="","",'06 - FLOW'!H21),"")</f>
        <v/>
      </c>
      <c r="AE149" t="str">
        <f>IF('06 - FLOW'!A21&lt;&gt;"",IF('06 - FLOW'!D21="","",'06 - FLOW'!D21),"")</f>
        <v/>
      </c>
      <c r="AF149" s="17" t="str">
        <f>IF('06 - FLOW'!A21&lt;&gt;"",IF('06 - FLOW'!E21="","",'06 - FLOW'!E21),"")</f>
        <v/>
      </c>
      <c r="AG149" t="str">
        <f>IF('06 - FLOW'!A21&lt;&gt;"",IF('06 - FLOW'!I21="","",'06 - FLOW'!I21),"")</f>
        <v/>
      </c>
      <c r="AH149" t="str">
        <f>IF('06 - FLOW'!A21&lt;&gt;"",IF('06 - FLOW'!J21="","",'06 - FLOW'!J21),"")</f>
        <v/>
      </c>
      <c r="AI149" t="str">
        <f>IF('06 - FLOW'!A21&lt;&gt;"",IF('06 - FLOW'!C21="","",'06 - FLOW'!C21),"")</f>
        <v/>
      </c>
      <c r="AJ149" t="str">
        <f>IF('06 - FLOW'!A21&lt;&gt;"","06 - FLOW row 21","")</f>
        <v/>
      </c>
      <c r="AK149">
        <f>IF(AND('06 - FLOW'!A21&lt;&gt;"",OR('06 - FLOW'!C21&lt;&gt;"Accepted",'06 - FLOW'!G21&lt;&gt;""),OR(AC149&lt;&gt;"",AD149&lt;&gt;"")),IF(Y149="Critical",1,IF(Y149="Review",2,3))*100000000+IF(ISNUMBER(AF149),AF149,99999)*1000+ROW(),999999999999)</f>
        <v>999999999999</v>
      </c>
      <c r="AL149">
        <f t="shared" si="9"/>
        <v>999999999999</v>
      </c>
      <c r="AM149">
        <f t="shared" si="13"/>
        <v>999999999999</v>
      </c>
      <c r="AN149">
        <f t="shared" si="10"/>
        <v>999999999999</v>
      </c>
      <c r="AO149">
        <f t="shared" si="11"/>
        <v>999999999999</v>
      </c>
      <c r="AP149">
        <f t="shared" si="8"/>
        <v>999999999999</v>
      </c>
      <c r="AQ149">
        <f t="shared" si="14"/>
        <v>999999999999</v>
      </c>
      <c r="AR149">
        <f t="shared" si="12"/>
        <v>0</v>
      </c>
    </row>
    <row r="150" spans="25:44">
      <c r="Y150" t="str">
        <f>IF('06 - FLOW'!A22&lt;&gt;"",IF('06 - FLOW'!F22="","",'06 - FLOW'!F22),"")</f>
        <v/>
      </c>
      <c r="Z150" t="str">
        <f>IF('06 - FLOW'!A22&lt;&gt;"","Flow","")</f>
        <v/>
      </c>
      <c r="AA150" t="str">
        <f>IF('06 - FLOW'!A22&lt;&gt;"",IF('06 - FLOW'!A22="","",'06 - FLOW'!A22),"")</f>
        <v/>
      </c>
      <c r="AB150" t="str">
        <f>IF('06 - FLOW'!A22&lt;&gt;"",IF('06 - FLOW'!B22="","",'06 - FLOW'!B22),"")</f>
        <v/>
      </c>
      <c r="AC150" t="str">
        <f>IF('06 - FLOW'!A22&lt;&gt;"",IF('06 - FLOW'!G22="","",'06 - FLOW'!G22),"")</f>
        <v/>
      </c>
      <c r="AD150" t="str">
        <f>IF('06 - FLOW'!A22&lt;&gt;"",IF('06 - FLOW'!H22="","",'06 - FLOW'!H22),"")</f>
        <v/>
      </c>
      <c r="AE150" t="str">
        <f>IF('06 - FLOW'!A22&lt;&gt;"",IF('06 - FLOW'!D22="","",'06 - FLOW'!D22),"")</f>
        <v/>
      </c>
      <c r="AF150" s="17" t="str">
        <f>IF('06 - FLOW'!A22&lt;&gt;"",IF('06 - FLOW'!E22="","",'06 - FLOW'!E22),"")</f>
        <v/>
      </c>
      <c r="AG150" t="str">
        <f>IF('06 - FLOW'!A22&lt;&gt;"",IF('06 - FLOW'!I22="","",'06 - FLOW'!I22),"")</f>
        <v/>
      </c>
      <c r="AH150" t="str">
        <f>IF('06 - FLOW'!A22&lt;&gt;"",IF('06 - FLOW'!J22="","",'06 - FLOW'!J22),"")</f>
        <v/>
      </c>
      <c r="AI150" t="str">
        <f>IF('06 - FLOW'!A22&lt;&gt;"",IF('06 - FLOW'!C22="","",'06 - FLOW'!C22),"")</f>
        <v/>
      </c>
      <c r="AJ150" t="str">
        <f>IF('06 - FLOW'!A22&lt;&gt;"","06 - FLOW row 22","")</f>
        <v/>
      </c>
      <c r="AK150">
        <f>IF(AND('06 - FLOW'!A22&lt;&gt;"",OR('06 - FLOW'!C22&lt;&gt;"Accepted",'06 - FLOW'!G22&lt;&gt;""),OR(AC150&lt;&gt;"",AD150&lt;&gt;"")),IF(Y150="Critical",1,IF(Y150="Review",2,3))*100000000+IF(ISNUMBER(AF150),AF150,99999)*1000+ROW(),999999999999)</f>
        <v>999999999999</v>
      </c>
      <c r="AL150">
        <f t="shared" si="9"/>
        <v>999999999999</v>
      </c>
      <c r="AM150">
        <f t="shared" si="13"/>
        <v>999999999999</v>
      </c>
      <c r="AN150">
        <f t="shared" si="10"/>
        <v>999999999999</v>
      </c>
      <c r="AO150">
        <f t="shared" si="11"/>
        <v>999999999999</v>
      </c>
      <c r="AP150">
        <f t="shared" si="8"/>
        <v>999999999999</v>
      </c>
      <c r="AQ150">
        <f t="shared" si="14"/>
        <v>999999999999</v>
      </c>
      <c r="AR150">
        <f t="shared" si="12"/>
        <v>0</v>
      </c>
    </row>
    <row r="151" spans="25:44">
      <c r="Y151" t="str">
        <f>IF('06 - FLOW'!A23&lt;&gt;"",IF('06 - FLOW'!F23="","",'06 - FLOW'!F23),"")</f>
        <v/>
      </c>
      <c r="Z151" t="str">
        <f>IF('06 - FLOW'!A23&lt;&gt;"","Flow","")</f>
        <v/>
      </c>
      <c r="AA151" t="str">
        <f>IF('06 - FLOW'!A23&lt;&gt;"",IF('06 - FLOW'!A23="","",'06 - FLOW'!A23),"")</f>
        <v/>
      </c>
      <c r="AB151" t="str">
        <f>IF('06 - FLOW'!A23&lt;&gt;"",IF('06 - FLOW'!B23="","",'06 - FLOW'!B23),"")</f>
        <v/>
      </c>
      <c r="AC151" t="str">
        <f>IF('06 - FLOW'!A23&lt;&gt;"",IF('06 - FLOW'!G23="","",'06 - FLOW'!G23),"")</f>
        <v/>
      </c>
      <c r="AD151" t="str">
        <f>IF('06 - FLOW'!A23&lt;&gt;"",IF('06 - FLOW'!H23="","",'06 - FLOW'!H23),"")</f>
        <v/>
      </c>
      <c r="AE151" t="str">
        <f>IF('06 - FLOW'!A23&lt;&gt;"",IF('06 - FLOW'!D23="","",'06 - FLOW'!D23),"")</f>
        <v/>
      </c>
      <c r="AF151" s="17" t="str">
        <f>IF('06 - FLOW'!A23&lt;&gt;"",IF('06 - FLOW'!E23="","",'06 - FLOW'!E23),"")</f>
        <v/>
      </c>
      <c r="AG151" t="str">
        <f>IF('06 - FLOW'!A23&lt;&gt;"",IF('06 - FLOW'!I23="","",'06 - FLOW'!I23),"")</f>
        <v/>
      </c>
      <c r="AH151" t="str">
        <f>IF('06 - FLOW'!A23&lt;&gt;"",IF('06 - FLOW'!J23="","",'06 - FLOW'!J23),"")</f>
        <v/>
      </c>
      <c r="AI151" t="str">
        <f>IF('06 - FLOW'!A23&lt;&gt;"",IF('06 - FLOW'!C23="","",'06 - FLOW'!C23),"")</f>
        <v/>
      </c>
      <c r="AJ151" t="str">
        <f>IF('06 - FLOW'!A23&lt;&gt;"","06 - FLOW row 23","")</f>
        <v/>
      </c>
      <c r="AK151">
        <f>IF(AND('06 - FLOW'!A23&lt;&gt;"",OR('06 - FLOW'!C23&lt;&gt;"Accepted",'06 - FLOW'!G23&lt;&gt;""),OR(AC151&lt;&gt;"",AD151&lt;&gt;"")),IF(Y151="Critical",1,IF(Y151="Review",2,3))*100000000+IF(ISNUMBER(AF151),AF151,99999)*1000+ROW(),999999999999)</f>
        <v>999999999999</v>
      </c>
      <c r="AL151">
        <f t="shared" si="9"/>
        <v>999999999999</v>
      </c>
      <c r="AM151">
        <f t="shared" si="13"/>
        <v>999999999999</v>
      </c>
      <c r="AN151">
        <f t="shared" si="10"/>
        <v>999999999999</v>
      </c>
      <c r="AO151">
        <f t="shared" si="11"/>
        <v>999999999999</v>
      </c>
      <c r="AP151">
        <f t="shared" ref="AP151:AP214" si="15">IF(AND(ISNUMBER(AK151),FALSE),AK151,999999999999)</f>
        <v>999999999999</v>
      </c>
      <c r="AQ151">
        <f t="shared" si="14"/>
        <v>999999999999</v>
      </c>
      <c r="AR151">
        <f t="shared" si="12"/>
        <v>0</v>
      </c>
    </row>
    <row r="152" spans="25:44">
      <c r="Y152" t="str">
        <f>IF('06 - FLOW'!A24&lt;&gt;"",IF('06 - FLOW'!F24="","",'06 - FLOW'!F24),"")</f>
        <v/>
      </c>
      <c r="Z152" t="str">
        <f>IF('06 - FLOW'!A24&lt;&gt;"","Flow","")</f>
        <v/>
      </c>
      <c r="AA152" t="str">
        <f>IF('06 - FLOW'!A24&lt;&gt;"",IF('06 - FLOW'!A24="","",'06 - FLOW'!A24),"")</f>
        <v/>
      </c>
      <c r="AB152" t="str">
        <f>IF('06 - FLOW'!A24&lt;&gt;"",IF('06 - FLOW'!B24="","",'06 - FLOW'!B24),"")</f>
        <v/>
      </c>
      <c r="AC152" t="str">
        <f>IF('06 - FLOW'!A24&lt;&gt;"",IF('06 - FLOW'!G24="","",'06 - FLOW'!G24),"")</f>
        <v/>
      </c>
      <c r="AD152" t="str">
        <f>IF('06 - FLOW'!A24&lt;&gt;"",IF('06 - FLOW'!H24="","",'06 - FLOW'!H24),"")</f>
        <v/>
      </c>
      <c r="AE152" t="str">
        <f>IF('06 - FLOW'!A24&lt;&gt;"",IF('06 - FLOW'!D24="","",'06 - FLOW'!D24),"")</f>
        <v/>
      </c>
      <c r="AF152" s="17" t="str">
        <f>IF('06 - FLOW'!A24&lt;&gt;"",IF('06 - FLOW'!E24="","",'06 - FLOW'!E24),"")</f>
        <v/>
      </c>
      <c r="AG152" t="str">
        <f>IF('06 - FLOW'!A24&lt;&gt;"",IF('06 - FLOW'!I24="","",'06 - FLOW'!I24),"")</f>
        <v/>
      </c>
      <c r="AH152" t="str">
        <f>IF('06 - FLOW'!A24&lt;&gt;"",IF('06 - FLOW'!J24="","",'06 - FLOW'!J24),"")</f>
        <v/>
      </c>
      <c r="AI152" t="str">
        <f>IF('06 - FLOW'!A24&lt;&gt;"",IF('06 - FLOW'!C24="","",'06 - FLOW'!C24),"")</f>
        <v/>
      </c>
      <c r="AJ152" t="str">
        <f>IF('06 - FLOW'!A24&lt;&gt;"","06 - FLOW row 24","")</f>
        <v/>
      </c>
      <c r="AK152">
        <f>IF(AND('06 - FLOW'!A24&lt;&gt;"",OR('06 - FLOW'!C24&lt;&gt;"Accepted",'06 - FLOW'!G24&lt;&gt;""),OR(AC152&lt;&gt;"",AD152&lt;&gt;"")),IF(Y152="Critical",1,IF(Y152="Review",2,3))*100000000+IF(ISNUMBER(AF152),AF152,99999)*1000+ROW(),999999999999)</f>
        <v>999999999999</v>
      </c>
      <c r="AL152">
        <f t="shared" si="9"/>
        <v>999999999999</v>
      </c>
      <c r="AM152">
        <f t="shared" si="13"/>
        <v>999999999999</v>
      </c>
      <c r="AN152">
        <f t="shared" si="10"/>
        <v>999999999999</v>
      </c>
      <c r="AO152">
        <f t="shared" si="11"/>
        <v>999999999999</v>
      </c>
      <c r="AP152">
        <f t="shared" si="15"/>
        <v>999999999999</v>
      </c>
      <c r="AQ152">
        <f t="shared" si="14"/>
        <v>999999999999</v>
      </c>
      <c r="AR152">
        <f t="shared" si="12"/>
        <v>0</v>
      </c>
    </row>
    <row r="153" spans="25:44">
      <c r="Y153" t="str">
        <f>IF('06 - FLOW'!A25&lt;&gt;"",IF('06 - FLOW'!F25="","",'06 - FLOW'!F25),"")</f>
        <v/>
      </c>
      <c r="Z153" t="str">
        <f>IF('06 - FLOW'!A25&lt;&gt;"","Flow","")</f>
        <v/>
      </c>
      <c r="AA153" t="str">
        <f>IF('06 - FLOW'!A25&lt;&gt;"",IF('06 - FLOW'!A25="","",'06 - FLOW'!A25),"")</f>
        <v/>
      </c>
      <c r="AB153" t="str">
        <f>IF('06 - FLOW'!A25&lt;&gt;"",IF('06 - FLOW'!B25="","",'06 - FLOW'!B25),"")</f>
        <v/>
      </c>
      <c r="AC153" t="str">
        <f>IF('06 - FLOW'!A25&lt;&gt;"",IF('06 - FLOW'!G25="","",'06 - FLOW'!G25),"")</f>
        <v/>
      </c>
      <c r="AD153" t="str">
        <f>IF('06 - FLOW'!A25&lt;&gt;"",IF('06 - FLOW'!H25="","",'06 - FLOW'!H25),"")</f>
        <v/>
      </c>
      <c r="AE153" t="str">
        <f>IF('06 - FLOW'!A25&lt;&gt;"",IF('06 - FLOW'!D25="","",'06 - FLOW'!D25),"")</f>
        <v/>
      </c>
      <c r="AF153" s="17" t="str">
        <f>IF('06 - FLOW'!A25&lt;&gt;"",IF('06 - FLOW'!E25="","",'06 - FLOW'!E25),"")</f>
        <v/>
      </c>
      <c r="AG153" t="str">
        <f>IF('06 - FLOW'!A25&lt;&gt;"",IF('06 - FLOW'!I25="","",'06 - FLOW'!I25),"")</f>
        <v/>
      </c>
      <c r="AH153" t="str">
        <f>IF('06 - FLOW'!A25&lt;&gt;"",IF('06 - FLOW'!J25="","",'06 - FLOW'!J25),"")</f>
        <v/>
      </c>
      <c r="AI153" t="str">
        <f>IF('06 - FLOW'!A25&lt;&gt;"",IF('06 - FLOW'!C25="","",'06 - FLOW'!C25),"")</f>
        <v/>
      </c>
      <c r="AJ153" t="str">
        <f>IF('06 - FLOW'!A25&lt;&gt;"","06 - FLOW row 25","")</f>
        <v/>
      </c>
      <c r="AK153">
        <f>IF(AND('06 - FLOW'!A25&lt;&gt;"",OR('06 - FLOW'!C25&lt;&gt;"Accepted",'06 - FLOW'!G25&lt;&gt;""),OR(AC153&lt;&gt;"",AD153&lt;&gt;"")),IF(Y153="Critical",1,IF(Y153="Review",2,3))*100000000+IF(ISNUMBER(AF153),AF153,99999)*1000+ROW(),999999999999)</f>
        <v>999999999999</v>
      </c>
      <c r="AL153">
        <f t="shared" si="9"/>
        <v>999999999999</v>
      </c>
      <c r="AM153">
        <f t="shared" si="13"/>
        <v>999999999999</v>
      </c>
      <c r="AN153">
        <f t="shared" si="10"/>
        <v>999999999999</v>
      </c>
      <c r="AO153">
        <f t="shared" si="11"/>
        <v>999999999999</v>
      </c>
      <c r="AP153">
        <f t="shared" si="15"/>
        <v>999999999999</v>
      </c>
      <c r="AQ153">
        <f t="shared" si="14"/>
        <v>999999999999</v>
      </c>
      <c r="AR153">
        <f t="shared" si="12"/>
        <v>0</v>
      </c>
    </row>
    <row r="154" spans="25:44">
      <c r="Y154" t="str">
        <f>IF('06 - FLOW'!A26&lt;&gt;"",IF('06 - FLOW'!F26="","",'06 - FLOW'!F26),"")</f>
        <v/>
      </c>
      <c r="Z154" t="str">
        <f>IF('06 - FLOW'!A26&lt;&gt;"","Flow","")</f>
        <v/>
      </c>
      <c r="AA154" t="str">
        <f>IF('06 - FLOW'!A26&lt;&gt;"",IF('06 - FLOW'!A26="","",'06 - FLOW'!A26),"")</f>
        <v/>
      </c>
      <c r="AB154" t="str">
        <f>IF('06 - FLOW'!A26&lt;&gt;"",IF('06 - FLOW'!B26="","",'06 - FLOW'!B26),"")</f>
        <v/>
      </c>
      <c r="AC154" t="str">
        <f>IF('06 - FLOW'!A26&lt;&gt;"",IF('06 - FLOW'!G26="","",'06 - FLOW'!G26),"")</f>
        <v/>
      </c>
      <c r="AD154" t="str">
        <f>IF('06 - FLOW'!A26&lt;&gt;"",IF('06 - FLOW'!H26="","",'06 - FLOW'!H26),"")</f>
        <v/>
      </c>
      <c r="AE154" t="str">
        <f>IF('06 - FLOW'!A26&lt;&gt;"",IF('06 - FLOW'!D26="","",'06 - FLOW'!D26),"")</f>
        <v/>
      </c>
      <c r="AF154" s="17" t="str">
        <f>IF('06 - FLOW'!A26&lt;&gt;"",IF('06 - FLOW'!E26="","",'06 - FLOW'!E26),"")</f>
        <v/>
      </c>
      <c r="AG154" t="str">
        <f>IF('06 - FLOW'!A26&lt;&gt;"",IF('06 - FLOW'!I26="","",'06 - FLOW'!I26),"")</f>
        <v/>
      </c>
      <c r="AH154" t="str">
        <f>IF('06 - FLOW'!A26&lt;&gt;"",IF('06 - FLOW'!J26="","",'06 - FLOW'!J26),"")</f>
        <v/>
      </c>
      <c r="AI154" t="str">
        <f>IF('06 - FLOW'!A26&lt;&gt;"",IF('06 - FLOW'!C26="","",'06 - FLOW'!C26),"")</f>
        <v/>
      </c>
      <c r="AJ154" t="str">
        <f>IF('06 - FLOW'!A26&lt;&gt;"","06 - FLOW row 26","")</f>
        <v/>
      </c>
      <c r="AK154">
        <f>IF(AND('06 - FLOW'!A26&lt;&gt;"",OR('06 - FLOW'!C26&lt;&gt;"Accepted",'06 - FLOW'!G26&lt;&gt;""),OR(AC154&lt;&gt;"",AD154&lt;&gt;"")),IF(Y154="Critical",1,IF(Y154="Review",2,3))*100000000+IF(ISNUMBER(AF154),AF154,99999)*1000+ROW(),999999999999)</f>
        <v>999999999999</v>
      </c>
      <c r="AL154">
        <f t="shared" si="9"/>
        <v>999999999999</v>
      </c>
      <c r="AM154">
        <f t="shared" si="13"/>
        <v>999999999999</v>
      </c>
      <c r="AN154">
        <f t="shared" si="10"/>
        <v>999999999999</v>
      </c>
      <c r="AO154">
        <f t="shared" si="11"/>
        <v>999999999999</v>
      </c>
      <c r="AP154">
        <f t="shared" si="15"/>
        <v>999999999999</v>
      </c>
      <c r="AQ154">
        <f t="shared" si="14"/>
        <v>999999999999</v>
      </c>
      <c r="AR154">
        <f t="shared" si="12"/>
        <v>0</v>
      </c>
    </row>
    <row r="155" spans="25:44">
      <c r="Y155" t="str">
        <f>IF('06 - FLOW'!A27&lt;&gt;"",IF('06 - FLOW'!F27="","",'06 - FLOW'!F27),"")</f>
        <v/>
      </c>
      <c r="Z155" t="str">
        <f>IF('06 - FLOW'!A27&lt;&gt;"","Flow","")</f>
        <v/>
      </c>
      <c r="AA155" t="str">
        <f>IF('06 - FLOW'!A27&lt;&gt;"",IF('06 - FLOW'!A27="","",'06 - FLOW'!A27),"")</f>
        <v/>
      </c>
      <c r="AB155" t="str">
        <f>IF('06 - FLOW'!A27&lt;&gt;"",IF('06 - FLOW'!B27="","",'06 - FLOW'!B27),"")</f>
        <v/>
      </c>
      <c r="AC155" t="str">
        <f>IF('06 - FLOW'!A27&lt;&gt;"",IF('06 - FLOW'!G27="","",'06 - FLOW'!G27),"")</f>
        <v/>
      </c>
      <c r="AD155" t="str">
        <f>IF('06 - FLOW'!A27&lt;&gt;"",IF('06 - FLOW'!H27="","",'06 - FLOW'!H27),"")</f>
        <v/>
      </c>
      <c r="AE155" t="str">
        <f>IF('06 - FLOW'!A27&lt;&gt;"",IF('06 - FLOW'!D27="","",'06 - FLOW'!D27),"")</f>
        <v/>
      </c>
      <c r="AF155" s="17" t="str">
        <f>IF('06 - FLOW'!A27&lt;&gt;"",IF('06 - FLOW'!E27="","",'06 - FLOW'!E27),"")</f>
        <v/>
      </c>
      <c r="AG155" t="str">
        <f>IF('06 - FLOW'!A27&lt;&gt;"",IF('06 - FLOW'!I27="","",'06 - FLOW'!I27),"")</f>
        <v/>
      </c>
      <c r="AH155" t="str">
        <f>IF('06 - FLOW'!A27&lt;&gt;"",IF('06 - FLOW'!J27="","",'06 - FLOW'!J27),"")</f>
        <v/>
      </c>
      <c r="AI155" t="str">
        <f>IF('06 - FLOW'!A27&lt;&gt;"",IF('06 - FLOW'!C27="","",'06 - FLOW'!C27),"")</f>
        <v/>
      </c>
      <c r="AJ155" t="str">
        <f>IF('06 - FLOW'!A27&lt;&gt;"","06 - FLOW row 27","")</f>
        <v/>
      </c>
      <c r="AK155">
        <f>IF(AND('06 - FLOW'!A27&lt;&gt;"",OR('06 - FLOW'!C27&lt;&gt;"Accepted",'06 - FLOW'!G27&lt;&gt;""),OR(AC155&lt;&gt;"",AD155&lt;&gt;"")),IF(Y155="Critical",1,IF(Y155="Review",2,3))*100000000+IF(ISNUMBER(AF155),AF155,99999)*1000+ROW(),999999999999)</f>
        <v>999999999999</v>
      </c>
      <c r="AL155">
        <f t="shared" si="9"/>
        <v>999999999999</v>
      </c>
      <c r="AM155">
        <f t="shared" si="13"/>
        <v>999999999999</v>
      </c>
      <c r="AN155">
        <f t="shared" si="10"/>
        <v>999999999999</v>
      </c>
      <c r="AO155">
        <f t="shared" si="11"/>
        <v>999999999999</v>
      </c>
      <c r="AP155">
        <f t="shared" si="15"/>
        <v>999999999999</v>
      </c>
      <c r="AQ155">
        <f t="shared" si="14"/>
        <v>999999999999</v>
      </c>
      <c r="AR155">
        <f t="shared" si="12"/>
        <v>0</v>
      </c>
    </row>
    <row r="156" spans="25:44">
      <c r="Y156" t="str">
        <f>IF('06 - FLOW'!A28&lt;&gt;"",IF('06 - FLOW'!F28="","",'06 - FLOW'!F28),"")</f>
        <v/>
      </c>
      <c r="Z156" t="str">
        <f>IF('06 - FLOW'!A28&lt;&gt;"","Flow","")</f>
        <v/>
      </c>
      <c r="AA156" t="str">
        <f>IF('06 - FLOW'!A28&lt;&gt;"",IF('06 - FLOW'!A28="","",'06 - FLOW'!A28),"")</f>
        <v/>
      </c>
      <c r="AB156" t="str">
        <f>IF('06 - FLOW'!A28&lt;&gt;"",IF('06 - FLOW'!B28="","",'06 - FLOW'!B28),"")</f>
        <v/>
      </c>
      <c r="AC156" t="str">
        <f>IF('06 - FLOW'!A28&lt;&gt;"",IF('06 - FLOW'!G28="","",'06 - FLOW'!G28),"")</f>
        <v/>
      </c>
      <c r="AD156" t="str">
        <f>IF('06 - FLOW'!A28&lt;&gt;"",IF('06 - FLOW'!H28="","",'06 - FLOW'!H28),"")</f>
        <v/>
      </c>
      <c r="AE156" t="str">
        <f>IF('06 - FLOW'!A28&lt;&gt;"",IF('06 - FLOW'!D28="","",'06 - FLOW'!D28),"")</f>
        <v/>
      </c>
      <c r="AF156" s="17" t="str">
        <f>IF('06 - FLOW'!A28&lt;&gt;"",IF('06 - FLOW'!E28="","",'06 - FLOW'!E28),"")</f>
        <v/>
      </c>
      <c r="AG156" t="str">
        <f>IF('06 - FLOW'!A28&lt;&gt;"",IF('06 - FLOW'!I28="","",'06 - FLOW'!I28),"")</f>
        <v/>
      </c>
      <c r="AH156" t="str">
        <f>IF('06 - FLOW'!A28&lt;&gt;"",IF('06 - FLOW'!J28="","",'06 - FLOW'!J28),"")</f>
        <v/>
      </c>
      <c r="AI156" t="str">
        <f>IF('06 - FLOW'!A28&lt;&gt;"",IF('06 - FLOW'!C28="","",'06 - FLOW'!C28),"")</f>
        <v/>
      </c>
      <c r="AJ156" t="str">
        <f>IF('06 - FLOW'!A28&lt;&gt;"","06 - FLOW row 28","")</f>
        <v/>
      </c>
      <c r="AK156">
        <f>IF(AND('06 - FLOW'!A28&lt;&gt;"",OR('06 - FLOW'!C28&lt;&gt;"Accepted",'06 - FLOW'!G28&lt;&gt;""),OR(AC156&lt;&gt;"",AD156&lt;&gt;"")),IF(Y156="Critical",1,IF(Y156="Review",2,3))*100000000+IF(ISNUMBER(AF156),AF156,99999)*1000+ROW(),999999999999)</f>
        <v>999999999999</v>
      </c>
      <c r="AL156">
        <f t="shared" si="9"/>
        <v>999999999999</v>
      </c>
      <c r="AM156">
        <f t="shared" si="13"/>
        <v>999999999999</v>
      </c>
      <c r="AN156">
        <f t="shared" si="10"/>
        <v>999999999999</v>
      </c>
      <c r="AO156">
        <f t="shared" si="11"/>
        <v>999999999999</v>
      </c>
      <c r="AP156">
        <f t="shared" si="15"/>
        <v>999999999999</v>
      </c>
      <c r="AQ156">
        <f t="shared" si="14"/>
        <v>999999999999</v>
      </c>
      <c r="AR156">
        <f t="shared" si="12"/>
        <v>0</v>
      </c>
    </row>
    <row r="157" spans="25:44">
      <c r="Y157" t="str">
        <f>IF('06 - FLOW'!A29&lt;&gt;"",IF('06 - FLOW'!F29="","",'06 - FLOW'!F29),"")</f>
        <v/>
      </c>
      <c r="Z157" t="str">
        <f>IF('06 - FLOW'!A29&lt;&gt;"","Flow","")</f>
        <v/>
      </c>
      <c r="AA157" t="str">
        <f>IF('06 - FLOW'!A29&lt;&gt;"",IF('06 - FLOW'!A29="","",'06 - FLOW'!A29),"")</f>
        <v/>
      </c>
      <c r="AB157" t="str">
        <f>IF('06 - FLOW'!A29&lt;&gt;"",IF('06 - FLOW'!B29="","",'06 - FLOW'!B29),"")</f>
        <v/>
      </c>
      <c r="AC157" t="str">
        <f>IF('06 - FLOW'!A29&lt;&gt;"",IF('06 - FLOW'!G29="","",'06 - FLOW'!G29),"")</f>
        <v/>
      </c>
      <c r="AD157" t="str">
        <f>IF('06 - FLOW'!A29&lt;&gt;"",IF('06 - FLOW'!H29="","",'06 - FLOW'!H29),"")</f>
        <v/>
      </c>
      <c r="AE157" t="str">
        <f>IF('06 - FLOW'!A29&lt;&gt;"",IF('06 - FLOW'!D29="","",'06 - FLOW'!D29),"")</f>
        <v/>
      </c>
      <c r="AF157" s="17" t="str">
        <f>IF('06 - FLOW'!A29&lt;&gt;"",IF('06 - FLOW'!E29="","",'06 - FLOW'!E29),"")</f>
        <v/>
      </c>
      <c r="AG157" t="str">
        <f>IF('06 - FLOW'!A29&lt;&gt;"",IF('06 - FLOW'!I29="","",'06 - FLOW'!I29),"")</f>
        <v/>
      </c>
      <c r="AH157" t="str">
        <f>IF('06 - FLOW'!A29&lt;&gt;"",IF('06 - FLOW'!J29="","",'06 - FLOW'!J29),"")</f>
        <v/>
      </c>
      <c r="AI157" t="str">
        <f>IF('06 - FLOW'!A29&lt;&gt;"",IF('06 - FLOW'!C29="","",'06 - FLOW'!C29),"")</f>
        <v/>
      </c>
      <c r="AJ157" t="str">
        <f>IF('06 - FLOW'!A29&lt;&gt;"","06 - FLOW row 29","")</f>
        <v/>
      </c>
      <c r="AK157">
        <f>IF(AND('06 - FLOW'!A29&lt;&gt;"",OR('06 - FLOW'!C29&lt;&gt;"Accepted",'06 - FLOW'!G29&lt;&gt;""),OR(AC157&lt;&gt;"",AD157&lt;&gt;"")),IF(Y157="Critical",1,IF(Y157="Review",2,3))*100000000+IF(ISNUMBER(AF157),AF157,99999)*1000+ROW(),999999999999)</f>
        <v>999999999999</v>
      </c>
      <c r="AL157">
        <f t="shared" si="9"/>
        <v>999999999999</v>
      </c>
      <c r="AM157">
        <f t="shared" si="13"/>
        <v>999999999999</v>
      </c>
      <c r="AN157">
        <f t="shared" si="10"/>
        <v>999999999999</v>
      </c>
      <c r="AO157">
        <f t="shared" si="11"/>
        <v>999999999999</v>
      </c>
      <c r="AP157">
        <f t="shared" si="15"/>
        <v>999999999999</v>
      </c>
      <c r="AQ157">
        <f t="shared" si="14"/>
        <v>999999999999</v>
      </c>
      <c r="AR157">
        <f t="shared" si="12"/>
        <v>0</v>
      </c>
    </row>
    <row r="158" spans="25:44">
      <c r="Y158" t="str">
        <f>IF('06 - FLOW'!A30&lt;&gt;"",IF('06 - FLOW'!F30="","",'06 - FLOW'!F30),"")</f>
        <v/>
      </c>
      <c r="Z158" t="str">
        <f>IF('06 - FLOW'!A30&lt;&gt;"","Flow","")</f>
        <v/>
      </c>
      <c r="AA158" t="str">
        <f>IF('06 - FLOW'!A30&lt;&gt;"",IF('06 - FLOW'!A30="","",'06 - FLOW'!A30),"")</f>
        <v/>
      </c>
      <c r="AB158" t="str">
        <f>IF('06 - FLOW'!A30&lt;&gt;"",IF('06 - FLOW'!B30="","",'06 - FLOW'!B30),"")</f>
        <v/>
      </c>
      <c r="AC158" t="str">
        <f>IF('06 - FLOW'!A30&lt;&gt;"",IF('06 - FLOW'!G30="","",'06 - FLOW'!G30),"")</f>
        <v/>
      </c>
      <c r="AD158" t="str">
        <f>IF('06 - FLOW'!A30&lt;&gt;"",IF('06 - FLOW'!H30="","",'06 - FLOW'!H30),"")</f>
        <v/>
      </c>
      <c r="AE158" t="str">
        <f>IF('06 - FLOW'!A30&lt;&gt;"",IF('06 - FLOW'!D30="","",'06 - FLOW'!D30),"")</f>
        <v/>
      </c>
      <c r="AF158" s="17" t="str">
        <f>IF('06 - FLOW'!A30&lt;&gt;"",IF('06 - FLOW'!E30="","",'06 - FLOW'!E30),"")</f>
        <v/>
      </c>
      <c r="AG158" t="str">
        <f>IF('06 - FLOW'!A30&lt;&gt;"",IF('06 - FLOW'!I30="","",'06 - FLOW'!I30),"")</f>
        <v/>
      </c>
      <c r="AH158" t="str">
        <f>IF('06 - FLOW'!A30&lt;&gt;"",IF('06 - FLOW'!J30="","",'06 - FLOW'!J30),"")</f>
        <v/>
      </c>
      <c r="AI158" t="str">
        <f>IF('06 - FLOW'!A30&lt;&gt;"",IF('06 - FLOW'!C30="","",'06 - FLOW'!C30),"")</f>
        <v/>
      </c>
      <c r="AJ158" t="str">
        <f>IF('06 - FLOW'!A30&lt;&gt;"","06 - FLOW row 30","")</f>
        <v/>
      </c>
      <c r="AK158">
        <f>IF(AND('06 - FLOW'!A30&lt;&gt;"",OR('06 - FLOW'!C30&lt;&gt;"Accepted",'06 - FLOW'!G30&lt;&gt;""),OR(AC158&lt;&gt;"",AD158&lt;&gt;"")),IF(Y158="Critical",1,IF(Y158="Review",2,3))*100000000+IF(ISNUMBER(AF158),AF158,99999)*1000+ROW(),999999999999)</f>
        <v>999999999999</v>
      </c>
      <c r="AL158">
        <f t="shared" ref="AL158:AL221" si="16">IF(AND(ISNUMBER(AK158),Y158="Critical"),AK158,999999999999)</f>
        <v>999999999999</v>
      </c>
      <c r="AM158">
        <f t="shared" si="13"/>
        <v>999999999999</v>
      </c>
      <c r="AN158">
        <f t="shared" ref="AN158:AN221" si="17">IF(AND(ISNUMBER(AK158),FALSE),AK158,999999999999)</f>
        <v>999999999999</v>
      </c>
      <c r="AO158">
        <f t="shared" ref="AO158:AO221" si="18">IF(AND(ISNUMBER(AK158),ISNUMBER(AF158),AF158&gt;=ReviewDate,AF158&lt;=ReviewDate+Upcoming),AF158*1000+ROW(),999999999999)</f>
        <v>999999999999</v>
      </c>
      <c r="AP158">
        <f t="shared" si="15"/>
        <v>999999999999</v>
      </c>
      <c r="AQ158">
        <f t="shared" si="14"/>
        <v>999999999999</v>
      </c>
      <c r="AR158">
        <f t="shared" ref="AR158:AR221" si="19">IF(AC158&lt;&gt;"",1,0)</f>
        <v>0</v>
      </c>
    </row>
    <row r="159" spans="25:44">
      <c r="Y159" t="str">
        <f>IF('06 - FLOW'!A31&lt;&gt;"",IF('06 - FLOW'!F31="","",'06 - FLOW'!F31),"")</f>
        <v/>
      </c>
      <c r="Z159" t="str">
        <f>IF('06 - FLOW'!A31&lt;&gt;"","Flow","")</f>
        <v/>
      </c>
      <c r="AA159" t="str">
        <f>IF('06 - FLOW'!A31&lt;&gt;"",IF('06 - FLOW'!A31="","",'06 - FLOW'!A31),"")</f>
        <v/>
      </c>
      <c r="AB159" t="str">
        <f>IF('06 - FLOW'!A31&lt;&gt;"",IF('06 - FLOW'!B31="","",'06 - FLOW'!B31),"")</f>
        <v/>
      </c>
      <c r="AC159" t="str">
        <f>IF('06 - FLOW'!A31&lt;&gt;"",IF('06 - FLOW'!G31="","",'06 - FLOW'!G31),"")</f>
        <v/>
      </c>
      <c r="AD159" t="str">
        <f>IF('06 - FLOW'!A31&lt;&gt;"",IF('06 - FLOW'!H31="","",'06 - FLOW'!H31),"")</f>
        <v/>
      </c>
      <c r="AE159" t="str">
        <f>IF('06 - FLOW'!A31&lt;&gt;"",IF('06 - FLOW'!D31="","",'06 - FLOW'!D31),"")</f>
        <v/>
      </c>
      <c r="AF159" s="17" t="str">
        <f>IF('06 - FLOW'!A31&lt;&gt;"",IF('06 - FLOW'!E31="","",'06 - FLOW'!E31),"")</f>
        <v/>
      </c>
      <c r="AG159" t="str">
        <f>IF('06 - FLOW'!A31&lt;&gt;"",IF('06 - FLOW'!I31="","",'06 - FLOW'!I31),"")</f>
        <v/>
      </c>
      <c r="AH159" t="str">
        <f>IF('06 - FLOW'!A31&lt;&gt;"",IF('06 - FLOW'!J31="","",'06 - FLOW'!J31),"")</f>
        <v/>
      </c>
      <c r="AI159" t="str">
        <f>IF('06 - FLOW'!A31&lt;&gt;"",IF('06 - FLOW'!C31="","",'06 - FLOW'!C31),"")</f>
        <v/>
      </c>
      <c r="AJ159" t="str">
        <f>IF('06 - FLOW'!A31&lt;&gt;"","06 - FLOW row 31","")</f>
        <v/>
      </c>
      <c r="AK159">
        <f>IF(AND('06 - FLOW'!A31&lt;&gt;"",OR('06 - FLOW'!C31&lt;&gt;"Accepted",'06 - FLOW'!G31&lt;&gt;""),OR(AC159&lt;&gt;"",AD159&lt;&gt;"")),IF(Y159="Critical",1,IF(Y159="Review",2,3))*100000000+IF(ISNUMBER(AF159),AF159,99999)*1000+ROW(),999999999999)</f>
        <v>999999999999</v>
      </c>
      <c r="AL159">
        <f t="shared" si="16"/>
        <v>999999999999</v>
      </c>
      <c r="AM159">
        <f t="shared" si="13"/>
        <v>999999999999</v>
      </c>
      <c r="AN159">
        <f t="shared" si="17"/>
        <v>999999999999</v>
      </c>
      <c r="AO159">
        <f t="shared" si="18"/>
        <v>999999999999</v>
      </c>
      <c r="AP159">
        <f t="shared" si="15"/>
        <v>999999999999</v>
      </c>
      <c r="AQ159">
        <f t="shared" si="14"/>
        <v>999999999999</v>
      </c>
      <c r="AR159">
        <f t="shared" si="19"/>
        <v>0</v>
      </c>
    </row>
    <row r="160" spans="25:44">
      <c r="Y160" t="str">
        <f>IF('06 - FLOW'!A32&lt;&gt;"",IF('06 - FLOW'!F32="","",'06 - FLOW'!F32),"")</f>
        <v/>
      </c>
      <c r="Z160" t="str">
        <f>IF('06 - FLOW'!A32&lt;&gt;"","Flow","")</f>
        <v/>
      </c>
      <c r="AA160" t="str">
        <f>IF('06 - FLOW'!A32&lt;&gt;"",IF('06 - FLOW'!A32="","",'06 - FLOW'!A32),"")</f>
        <v/>
      </c>
      <c r="AB160" t="str">
        <f>IF('06 - FLOW'!A32&lt;&gt;"",IF('06 - FLOW'!B32="","",'06 - FLOW'!B32),"")</f>
        <v/>
      </c>
      <c r="AC160" t="str">
        <f>IF('06 - FLOW'!A32&lt;&gt;"",IF('06 - FLOW'!G32="","",'06 - FLOW'!G32),"")</f>
        <v/>
      </c>
      <c r="AD160" t="str">
        <f>IF('06 - FLOW'!A32&lt;&gt;"",IF('06 - FLOW'!H32="","",'06 - FLOW'!H32),"")</f>
        <v/>
      </c>
      <c r="AE160" t="str">
        <f>IF('06 - FLOW'!A32&lt;&gt;"",IF('06 - FLOW'!D32="","",'06 - FLOW'!D32),"")</f>
        <v/>
      </c>
      <c r="AF160" s="17" t="str">
        <f>IF('06 - FLOW'!A32&lt;&gt;"",IF('06 - FLOW'!E32="","",'06 - FLOW'!E32),"")</f>
        <v/>
      </c>
      <c r="AG160" t="str">
        <f>IF('06 - FLOW'!A32&lt;&gt;"",IF('06 - FLOW'!I32="","",'06 - FLOW'!I32),"")</f>
        <v/>
      </c>
      <c r="AH160" t="str">
        <f>IF('06 - FLOW'!A32&lt;&gt;"",IF('06 - FLOW'!J32="","",'06 - FLOW'!J32),"")</f>
        <v/>
      </c>
      <c r="AI160" t="str">
        <f>IF('06 - FLOW'!A32&lt;&gt;"",IF('06 - FLOW'!C32="","",'06 - FLOW'!C32),"")</f>
        <v/>
      </c>
      <c r="AJ160" t="str">
        <f>IF('06 - FLOW'!A32&lt;&gt;"","06 - FLOW row 32","")</f>
        <v/>
      </c>
      <c r="AK160">
        <f>IF(AND('06 - FLOW'!A32&lt;&gt;"",OR('06 - FLOW'!C32&lt;&gt;"Accepted",'06 - FLOW'!G32&lt;&gt;""),OR(AC160&lt;&gt;"",AD160&lt;&gt;"")),IF(Y160="Critical",1,IF(Y160="Review",2,3))*100000000+IF(ISNUMBER(AF160),AF160,99999)*1000+ROW(),999999999999)</f>
        <v>999999999999</v>
      </c>
      <c r="AL160">
        <f t="shared" si="16"/>
        <v>999999999999</v>
      </c>
      <c r="AM160">
        <f t="shared" si="13"/>
        <v>999999999999</v>
      </c>
      <c r="AN160">
        <f t="shared" si="17"/>
        <v>999999999999</v>
      </c>
      <c r="AO160">
        <f t="shared" si="18"/>
        <v>999999999999</v>
      </c>
      <c r="AP160">
        <f t="shared" si="15"/>
        <v>999999999999</v>
      </c>
      <c r="AQ160">
        <f t="shared" si="14"/>
        <v>999999999999</v>
      </c>
      <c r="AR160">
        <f t="shared" si="19"/>
        <v>0</v>
      </c>
    </row>
    <row r="161" spans="25:44">
      <c r="Y161" t="str">
        <f>IF('06 - FLOW'!A33&lt;&gt;"",IF('06 - FLOW'!F33="","",'06 - FLOW'!F33),"")</f>
        <v/>
      </c>
      <c r="Z161" t="str">
        <f>IF('06 - FLOW'!A33&lt;&gt;"","Flow","")</f>
        <v/>
      </c>
      <c r="AA161" t="str">
        <f>IF('06 - FLOW'!A33&lt;&gt;"",IF('06 - FLOW'!A33="","",'06 - FLOW'!A33),"")</f>
        <v/>
      </c>
      <c r="AB161" t="str">
        <f>IF('06 - FLOW'!A33&lt;&gt;"",IF('06 - FLOW'!B33="","",'06 - FLOW'!B33),"")</f>
        <v/>
      </c>
      <c r="AC161" t="str">
        <f>IF('06 - FLOW'!A33&lt;&gt;"",IF('06 - FLOW'!G33="","",'06 - FLOW'!G33),"")</f>
        <v/>
      </c>
      <c r="AD161" t="str">
        <f>IF('06 - FLOW'!A33&lt;&gt;"",IF('06 - FLOW'!H33="","",'06 - FLOW'!H33),"")</f>
        <v/>
      </c>
      <c r="AE161" t="str">
        <f>IF('06 - FLOW'!A33&lt;&gt;"",IF('06 - FLOW'!D33="","",'06 - FLOW'!D33),"")</f>
        <v/>
      </c>
      <c r="AF161" s="17" t="str">
        <f>IF('06 - FLOW'!A33&lt;&gt;"",IF('06 - FLOW'!E33="","",'06 - FLOW'!E33),"")</f>
        <v/>
      </c>
      <c r="AG161" t="str">
        <f>IF('06 - FLOW'!A33&lt;&gt;"",IF('06 - FLOW'!I33="","",'06 - FLOW'!I33),"")</f>
        <v/>
      </c>
      <c r="AH161" t="str">
        <f>IF('06 - FLOW'!A33&lt;&gt;"",IF('06 - FLOW'!J33="","",'06 - FLOW'!J33),"")</f>
        <v/>
      </c>
      <c r="AI161" t="str">
        <f>IF('06 - FLOW'!A33&lt;&gt;"",IF('06 - FLOW'!C33="","",'06 - FLOW'!C33),"")</f>
        <v/>
      </c>
      <c r="AJ161" t="str">
        <f>IF('06 - FLOW'!A33&lt;&gt;"","06 - FLOW row 33","")</f>
        <v/>
      </c>
      <c r="AK161">
        <f>IF(AND('06 - FLOW'!A33&lt;&gt;"",OR('06 - FLOW'!C33&lt;&gt;"Accepted",'06 - FLOW'!G33&lt;&gt;""),OR(AC161&lt;&gt;"",AD161&lt;&gt;"")),IF(Y161="Critical",1,IF(Y161="Review",2,3))*100000000+IF(ISNUMBER(AF161),AF161,99999)*1000+ROW(),999999999999)</f>
        <v>999999999999</v>
      </c>
      <c r="AL161">
        <f t="shared" si="16"/>
        <v>999999999999</v>
      </c>
      <c r="AM161">
        <f t="shared" si="13"/>
        <v>999999999999</v>
      </c>
      <c r="AN161">
        <f t="shared" si="17"/>
        <v>999999999999</v>
      </c>
      <c r="AO161">
        <f t="shared" si="18"/>
        <v>999999999999</v>
      </c>
      <c r="AP161">
        <f t="shared" si="15"/>
        <v>999999999999</v>
      </c>
      <c r="AQ161">
        <f t="shared" si="14"/>
        <v>999999999999</v>
      </c>
      <c r="AR161">
        <f t="shared" si="19"/>
        <v>0</v>
      </c>
    </row>
    <row r="162" spans="25:44">
      <c r="Y162" t="str">
        <f>IF('06 - FLOW'!A34&lt;&gt;"",IF('06 - FLOW'!F34="","",'06 - FLOW'!F34),"")</f>
        <v/>
      </c>
      <c r="Z162" t="str">
        <f>IF('06 - FLOW'!A34&lt;&gt;"","Flow","")</f>
        <v/>
      </c>
      <c r="AA162" t="str">
        <f>IF('06 - FLOW'!A34&lt;&gt;"",IF('06 - FLOW'!A34="","",'06 - FLOW'!A34),"")</f>
        <v/>
      </c>
      <c r="AB162" t="str">
        <f>IF('06 - FLOW'!A34&lt;&gt;"",IF('06 - FLOW'!B34="","",'06 - FLOW'!B34),"")</f>
        <v/>
      </c>
      <c r="AC162" t="str">
        <f>IF('06 - FLOW'!A34&lt;&gt;"",IF('06 - FLOW'!G34="","",'06 - FLOW'!G34),"")</f>
        <v/>
      </c>
      <c r="AD162" t="str">
        <f>IF('06 - FLOW'!A34&lt;&gt;"",IF('06 - FLOW'!H34="","",'06 - FLOW'!H34),"")</f>
        <v/>
      </c>
      <c r="AE162" t="str">
        <f>IF('06 - FLOW'!A34&lt;&gt;"",IF('06 - FLOW'!D34="","",'06 - FLOW'!D34),"")</f>
        <v/>
      </c>
      <c r="AF162" s="17" t="str">
        <f>IF('06 - FLOW'!A34&lt;&gt;"",IF('06 - FLOW'!E34="","",'06 - FLOW'!E34),"")</f>
        <v/>
      </c>
      <c r="AG162" t="str">
        <f>IF('06 - FLOW'!A34&lt;&gt;"",IF('06 - FLOW'!I34="","",'06 - FLOW'!I34),"")</f>
        <v/>
      </c>
      <c r="AH162" t="str">
        <f>IF('06 - FLOW'!A34&lt;&gt;"",IF('06 - FLOW'!J34="","",'06 - FLOW'!J34),"")</f>
        <v/>
      </c>
      <c r="AI162" t="str">
        <f>IF('06 - FLOW'!A34&lt;&gt;"",IF('06 - FLOW'!C34="","",'06 - FLOW'!C34),"")</f>
        <v/>
      </c>
      <c r="AJ162" t="str">
        <f>IF('06 - FLOW'!A34&lt;&gt;"","06 - FLOW row 34","")</f>
        <v/>
      </c>
      <c r="AK162">
        <f>IF(AND('06 - FLOW'!A34&lt;&gt;"",OR('06 - FLOW'!C34&lt;&gt;"Accepted",'06 - FLOW'!G34&lt;&gt;""),OR(AC162&lt;&gt;"",AD162&lt;&gt;"")),IF(Y162="Critical",1,IF(Y162="Review",2,3))*100000000+IF(ISNUMBER(AF162),AF162,99999)*1000+ROW(),999999999999)</f>
        <v>999999999999</v>
      </c>
      <c r="AL162">
        <f t="shared" si="16"/>
        <v>999999999999</v>
      </c>
      <c r="AM162">
        <f t="shared" si="13"/>
        <v>999999999999</v>
      </c>
      <c r="AN162">
        <f t="shared" si="17"/>
        <v>999999999999</v>
      </c>
      <c r="AO162">
        <f t="shared" si="18"/>
        <v>999999999999</v>
      </c>
      <c r="AP162">
        <f t="shared" si="15"/>
        <v>999999999999</v>
      </c>
      <c r="AQ162">
        <f t="shared" si="14"/>
        <v>999999999999</v>
      </c>
      <c r="AR162">
        <f t="shared" si="19"/>
        <v>0</v>
      </c>
    </row>
    <row r="163" spans="25:44">
      <c r="Y163" t="str">
        <f>IF('06 - FLOW'!A35&lt;&gt;"",IF('06 - FLOW'!F35="","",'06 - FLOW'!F35),"")</f>
        <v/>
      </c>
      <c r="Z163" t="str">
        <f>IF('06 - FLOW'!A35&lt;&gt;"","Flow","")</f>
        <v/>
      </c>
      <c r="AA163" t="str">
        <f>IF('06 - FLOW'!A35&lt;&gt;"",IF('06 - FLOW'!A35="","",'06 - FLOW'!A35),"")</f>
        <v/>
      </c>
      <c r="AB163" t="str">
        <f>IF('06 - FLOW'!A35&lt;&gt;"",IF('06 - FLOW'!B35="","",'06 - FLOW'!B35),"")</f>
        <v/>
      </c>
      <c r="AC163" t="str">
        <f>IF('06 - FLOW'!A35&lt;&gt;"",IF('06 - FLOW'!G35="","",'06 - FLOW'!G35),"")</f>
        <v/>
      </c>
      <c r="AD163" t="str">
        <f>IF('06 - FLOW'!A35&lt;&gt;"",IF('06 - FLOW'!H35="","",'06 - FLOW'!H35),"")</f>
        <v/>
      </c>
      <c r="AE163" t="str">
        <f>IF('06 - FLOW'!A35&lt;&gt;"",IF('06 - FLOW'!D35="","",'06 - FLOW'!D35),"")</f>
        <v/>
      </c>
      <c r="AF163" s="17" t="str">
        <f>IF('06 - FLOW'!A35&lt;&gt;"",IF('06 - FLOW'!E35="","",'06 - FLOW'!E35),"")</f>
        <v/>
      </c>
      <c r="AG163" t="str">
        <f>IF('06 - FLOW'!A35&lt;&gt;"",IF('06 - FLOW'!I35="","",'06 - FLOW'!I35),"")</f>
        <v/>
      </c>
      <c r="AH163" t="str">
        <f>IF('06 - FLOW'!A35&lt;&gt;"",IF('06 - FLOW'!J35="","",'06 - FLOW'!J35),"")</f>
        <v/>
      </c>
      <c r="AI163" t="str">
        <f>IF('06 - FLOW'!A35&lt;&gt;"",IF('06 - FLOW'!C35="","",'06 - FLOW'!C35),"")</f>
        <v/>
      </c>
      <c r="AJ163" t="str">
        <f>IF('06 - FLOW'!A35&lt;&gt;"","06 - FLOW row 35","")</f>
        <v/>
      </c>
      <c r="AK163">
        <f>IF(AND('06 - FLOW'!A35&lt;&gt;"",OR('06 - FLOW'!C35&lt;&gt;"Accepted",'06 - FLOW'!G35&lt;&gt;""),OR(AC163&lt;&gt;"",AD163&lt;&gt;"")),IF(Y163="Critical",1,IF(Y163="Review",2,3))*100000000+IF(ISNUMBER(AF163),AF163,99999)*1000+ROW(),999999999999)</f>
        <v>999999999999</v>
      </c>
      <c r="AL163">
        <f t="shared" si="16"/>
        <v>999999999999</v>
      </c>
      <c r="AM163">
        <f t="shared" si="13"/>
        <v>999999999999</v>
      </c>
      <c r="AN163">
        <f t="shared" si="17"/>
        <v>999999999999</v>
      </c>
      <c r="AO163">
        <f t="shared" si="18"/>
        <v>999999999999</v>
      </c>
      <c r="AP163">
        <f t="shared" si="15"/>
        <v>999999999999</v>
      </c>
      <c r="AQ163">
        <f t="shared" si="14"/>
        <v>999999999999</v>
      </c>
      <c r="AR163">
        <f t="shared" si="19"/>
        <v>0</v>
      </c>
    </row>
    <row r="164" spans="25:44">
      <c r="Y164" t="str">
        <f>IF('06 - FLOW'!A36&lt;&gt;"",IF('06 - FLOW'!F36="","",'06 - FLOW'!F36),"")</f>
        <v/>
      </c>
      <c r="Z164" t="str">
        <f>IF('06 - FLOW'!A36&lt;&gt;"","Flow","")</f>
        <v/>
      </c>
      <c r="AA164" t="str">
        <f>IF('06 - FLOW'!A36&lt;&gt;"",IF('06 - FLOW'!A36="","",'06 - FLOW'!A36),"")</f>
        <v/>
      </c>
      <c r="AB164" t="str">
        <f>IF('06 - FLOW'!A36&lt;&gt;"",IF('06 - FLOW'!B36="","",'06 - FLOW'!B36),"")</f>
        <v/>
      </c>
      <c r="AC164" t="str">
        <f>IF('06 - FLOW'!A36&lt;&gt;"",IF('06 - FLOW'!G36="","",'06 - FLOW'!G36),"")</f>
        <v/>
      </c>
      <c r="AD164" t="str">
        <f>IF('06 - FLOW'!A36&lt;&gt;"",IF('06 - FLOW'!H36="","",'06 - FLOW'!H36),"")</f>
        <v/>
      </c>
      <c r="AE164" t="str">
        <f>IF('06 - FLOW'!A36&lt;&gt;"",IF('06 - FLOW'!D36="","",'06 - FLOW'!D36),"")</f>
        <v/>
      </c>
      <c r="AF164" s="17" t="str">
        <f>IF('06 - FLOW'!A36&lt;&gt;"",IF('06 - FLOW'!E36="","",'06 - FLOW'!E36),"")</f>
        <v/>
      </c>
      <c r="AG164" t="str">
        <f>IF('06 - FLOW'!A36&lt;&gt;"",IF('06 - FLOW'!I36="","",'06 - FLOW'!I36),"")</f>
        <v/>
      </c>
      <c r="AH164" t="str">
        <f>IF('06 - FLOW'!A36&lt;&gt;"",IF('06 - FLOW'!J36="","",'06 - FLOW'!J36),"")</f>
        <v/>
      </c>
      <c r="AI164" t="str">
        <f>IF('06 - FLOW'!A36&lt;&gt;"",IF('06 - FLOW'!C36="","",'06 - FLOW'!C36),"")</f>
        <v/>
      </c>
      <c r="AJ164" t="str">
        <f>IF('06 - FLOW'!A36&lt;&gt;"","06 - FLOW row 36","")</f>
        <v/>
      </c>
      <c r="AK164">
        <f>IF(AND('06 - FLOW'!A36&lt;&gt;"",OR('06 - FLOW'!C36&lt;&gt;"Accepted",'06 - FLOW'!G36&lt;&gt;""),OR(AC164&lt;&gt;"",AD164&lt;&gt;"")),IF(Y164="Critical",1,IF(Y164="Review",2,3))*100000000+IF(ISNUMBER(AF164),AF164,99999)*1000+ROW(),999999999999)</f>
        <v>999999999999</v>
      </c>
      <c r="AL164">
        <f t="shared" si="16"/>
        <v>999999999999</v>
      </c>
      <c r="AM164">
        <f t="shared" si="13"/>
        <v>999999999999</v>
      </c>
      <c r="AN164">
        <f t="shared" si="17"/>
        <v>999999999999</v>
      </c>
      <c r="AO164">
        <f t="shared" si="18"/>
        <v>999999999999</v>
      </c>
      <c r="AP164">
        <f t="shared" si="15"/>
        <v>999999999999</v>
      </c>
      <c r="AQ164">
        <f t="shared" si="14"/>
        <v>999999999999</v>
      </c>
      <c r="AR164">
        <f t="shared" si="19"/>
        <v>0</v>
      </c>
    </row>
    <row r="165" spans="25:44">
      <c r="Y165" t="str">
        <f>IF('06 - FLOW'!A37&lt;&gt;"",IF('06 - FLOW'!F37="","",'06 - FLOW'!F37),"")</f>
        <v/>
      </c>
      <c r="Z165" t="str">
        <f>IF('06 - FLOW'!A37&lt;&gt;"","Flow","")</f>
        <v/>
      </c>
      <c r="AA165" t="str">
        <f>IF('06 - FLOW'!A37&lt;&gt;"",IF('06 - FLOW'!A37="","",'06 - FLOW'!A37),"")</f>
        <v/>
      </c>
      <c r="AB165" t="str">
        <f>IF('06 - FLOW'!A37&lt;&gt;"",IF('06 - FLOW'!B37="","",'06 - FLOW'!B37),"")</f>
        <v/>
      </c>
      <c r="AC165" t="str">
        <f>IF('06 - FLOW'!A37&lt;&gt;"",IF('06 - FLOW'!G37="","",'06 - FLOW'!G37),"")</f>
        <v/>
      </c>
      <c r="AD165" t="str">
        <f>IF('06 - FLOW'!A37&lt;&gt;"",IF('06 - FLOW'!H37="","",'06 - FLOW'!H37),"")</f>
        <v/>
      </c>
      <c r="AE165" t="str">
        <f>IF('06 - FLOW'!A37&lt;&gt;"",IF('06 - FLOW'!D37="","",'06 - FLOW'!D37),"")</f>
        <v/>
      </c>
      <c r="AF165" s="17" t="str">
        <f>IF('06 - FLOW'!A37&lt;&gt;"",IF('06 - FLOW'!E37="","",'06 - FLOW'!E37),"")</f>
        <v/>
      </c>
      <c r="AG165" t="str">
        <f>IF('06 - FLOW'!A37&lt;&gt;"",IF('06 - FLOW'!I37="","",'06 - FLOW'!I37),"")</f>
        <v/>
      </c>
      <c r="AH165" t="str">
        <f>IF('06 - FLOW'!A37&lt;&gt;"",IF('06 - FLOW'!J37="","",'06 - FLOW'!J37),"")</f>
        <v/>
      </c>
      <c r="AI165" t="str">
        <f>IF('06 - FLOW'!A37&lt;&gt;"",IF('06 - FLOW'!C37="","",'06 - FLOW'!C37),"")</f>
        <v/>
      </c>
      <c r="AJ165" t="str">
        <f>IF('06 - FLOW'!A37&lt;&gt;"","06 - FLOW row 37","")</f>
        <v/>
      </c>
      <c r="AK165">
        <f>IF(AND('06 - FLOW'!A37&lt;&gt;"",OR('06 - FLOW'!C37&lt;&gt;"Accepted",'06 - FLOW'!G37&lt;&gt;""),OR(AC165&lt;&gt;"",AD165&lt;&gt;"")),IF(Y165="Critical",1,IF(Y165="Review",2,3))*100000000+IF(ISNUMBER(AF165),AF165,99999)*1000+ROW(),999999999999)</f>
        <v>999999999999</v>
      </c>
      <c r="AL165">
        <f t="shared" si="16"/>
        <v>999999999999</v>
      </c>
      <c r="AM165">
        <f t="shared" ref="AM165:AM228" si="20">IF(AND(ISNUMBER(AK165),OR(Z165="Assurance",AND(Z165="Adoption",AC165&lt;&gt;""),FALSE)),AK165,999999999999)</f>
        <v>999999999999</v>
      </c>
      <c r="AN165">
        <f t="shared" si="17"/>
        <v>999999999999</v>
      </c>
      <c r="AO165">
        <f t="shared" si="18"/>
        <v>999999999999</v>
      </c>
      <c r="AP165">
        <f t="shared" si="15"/>
        <v>999999999999</v>
      </c>
      <c r="AQ165">
        <f t="shared" si="14"/>
        <v>999999999999</v>
      </c>
      <c r="AR165">
        <f t="shared" si="19"/>
        <v>0</v>
      </c>
    </row>
    <row r="166" spans="25:44">
      <c r="Y166" t="str">
        <f>IF('06 - FLOW'!A38&lt;&gt;"",IF('06 - FLOW'!F38="","",'06 - FLOW'!F38),"")</f>
        <v/>
      </c>
      <c r="Z166" t="str">
        <f>IF('06 - FLOW'!A38&lt;&gt;"","Flow","")</f>
        <v/>
      </c>
      <c r="AA166" t="str">
        <f>IF('06 - FLOW'!A38&lt;&gt;"",IF('06 - FLOW'!A38="","",'06 - FLOW'!A38),"")</f>
        <v/>
      </c>
      <c r="AB166" t="str">
        <f>IF('06 - FLOW'!A38&lt;&gt;"",IF('06 - FLOW'!B38="","",'06 - FLOW'!B38),"")</f>
        <v/>
      </c>
      <c r="AC166" t="str">
        <f>IF('06 - FLOW'!A38&lt;&gt;"",IF('06 - FLOW'!G38="","",'06 - FLOW'!G38),"")</f>
        <v/>
      </c>
      <c r="AD166" t="str">
        <f>IF('06 - FLOW'!A38&lt;&gt;"",IF('06 - FLOW'!H38="","",'06 - FLOW'!H38),"")</f>
        <v/>
      </c>
      <c r="AE166" t="str">
        <f>IF('06 - FLOW'!A38&lt;&gt;"",IF('06 - FLOW'!D38="","",'06 - FLOW'!D38),"")</f>
        <v/>
      </c>
      <c r="AF166" s="17" t="str">
        <f>IF('06 - FLOW'!A38&lt;&gt;"",IF('06 - FLOW'!E38="","",'06 - FLOW'!E38),"")</f>
        <v/>
      </c>
      <c r="AG166" t="str">
        <f>IF('06 - FLOW'!A38&lt;&gt;"",IF('06 - FLOW'!I38="","",'06 - FLOW'!I38),"")</f>
        <v/>
      </c>
      <c r="AH166" t="str">
        <f>IF('06 - FLOW'!A38&lt;&gt;"",IF('06 - FLOW'!J38="","",'06 - FLOW'!J38),"")</f>
        <v/>
      </c>
      <c r="AI166" t="str">
        <f>IF('06 - FLOW'!A38&lt;&gt;"",IF('06 - FLOW'!C38="","",'06 - FLOW'!C38),"")</f>
        <v/>
      </c>
      <c r="AJ166" t="str">
        <f>IF('06 - FLOW'!A38&lt;&gt;"","06 - FLOW row 38","")</f>
        <v/>
      </c>
      <c r="AK166">
        <f>IF(AND('06 - FLOW'!A38&lt;&gt;"",OR('06 - FLOW'!C38&lt;&gt;"Accepted",'06 - FLOW'!G38&lt;&gt;""),OR(AC166&lt;&gt;"",AD166&lt;&gt;"")),IF(Y166="Critical",1,IF(Y166="Review",2,3))*100000000+IF(ISNUMBER(AF166),AF166,99999)*1000+ROW(),999999999999)</f>
        <v>999999999999</v>
      </c>
      <c r="AL166">
        <f t="shared" si="16"/>
        <v>999999999999</v>
      </c>
      <c r="AM166">
        <f t="shared" si="20"/>
        <v>999999999999</v>
      </c>
      <c r="AN166">
        <f t="shared" si="17"/>
        <v>999999999999</v>
      </c>
      <c r="AO166">
        <f t="shared" si="18"/>
        <v>999999999999</v>
      </c>
      <c r="AP166">
        <f t="shared" si="15"/>
        <v>999999999999</v>
      </c>
      <c r="AQ166">
        <f t="shared" si="14"/>
        <v>999999999999</v>
      </c>
      <c r="AR166">
        <f t="shared" si="19"/>
        <v>0</v>
      </c>
    </row>
    <row r="167" spans="25:44">
      <c r="Y167" t="str">
        <f>IF('06 - FLOW'!A39&lt;&gt;"",IF('06 - FLOW'!F39="","",'06 - FLOW'!F39),"")</f>
        <v/>
      </c>
      <c r="Z167" t="str">
        <f>IF('06 - FLOW'!A39&lt;&gt;"","Flow","")</f>
        <v/>
      </c>
      <c r="AA167" t="str">
        <f>IF('06 - FLOW'!A39&lt;&gt;"",IF('06 - FLOW'!A39="","",'06 - FLOW'!A39),"")</f>
        <v/>
      </c>
      <c r="AB167" t="str">
        <f>IF('06 - FLOW'!A39&lt;&gt;"",IF('06 - FLOW'!B39="","",'06 - FLOW'!B39),"")</f>
        <v/>
      </c>
      <c r="AC167" t="str">
        <f>IF('06 - FLOW'!A39&lt;&gt;"",IF('06 - FLOW'!G39="","",'06 - FLOW'!G39),"")</f>
        <v/>
      </c>
      <c r="AD167" t="str">
        <f>IF('06 - FLOW'!A39&lt;&gt;"",IF('06 - FLOW'!H39="","",'06 - FLOW'!H39),"")</f>
        <v/>
      </c>
      <c r="AE167" t="str">
        <f>IF('06 - FLOW'!A39&lt;&gt;"",IF('06 - FLOW'!D39="","",'06 - FLOW'!D39),"")</f>
        <v/>
      </c>
      <c r="AF167" s="17" t="str">
        <f>IF('06 - FLOW'!A39&lt;&gt;"",IF('06 - FLOW'!E39="","",'06 - FLOW'!E39),"")</f>
        <v/>
      </c>
      <c r="AG167" t="str">
        <f>IF('06 - FLOW'!A39&lt;&gt;"",IF('06 - FLOW'!I39="","",'06 - FLOW'!I39),"")</f>
        <v/>
      </c>
      <c r="AH167" t="str">
        <f>IF('06 - FLOW'!A39&lt;&gt;"",IF('06 - FLOW'!J39="","",'06 - FLOW'!J39),"")</f>
        <v/>
      </c>
      <c r="AI167" t="str">
        <f>IF('06 - FLOW'!A39&lt;&gt;"",IF('06 - FLOW'!C39="","",'06 - FLOW'!C39),"")</f>
        <v/>
      </c>
      <c r="AJ167" t="str">
        <f>IF('06 - FLOW'!A39&lt;&gt;"","06 - FLOW row 39","")</f>
        <v/>
      </c>
      <c r="AK167">
        <f>IF(AND('06 - FLOW'!A39&lt;&gt;"",OR('06 - FLOW'!C39&lt;&gt;"Accepted",'06 - FLOW'!G39&lt;&gt;""),OR(AC167&lt;&gt;"",AD167&lt;&gt;"")),IF(Y167="Critical",1,IF(Y167="Review",2,3))*100000000+IF(ISNUMBER(AF167),AF167,99999)*1000+ROW(),999999999999)</f>
        <v>999999999999</v>
      </c>
      <c r="AL167">
        <f t="shared" si="16"/>
        <v>999999999999</v>
      </c>
      <c r="AM167">
        <f t="shared" si="20"/>
        <v>999999999999</v>
      </c>
      <c r="AN167">
        <f t="shared" si="17"/>
        <v>999999999999</v>
      </c>
      <c r="AO167">
        <f t="shared" si="18"/>
        <v>999999999999</v>
      </c>
      <c r="AP167">
        <f t="shared" si="15"/>
        <v>999999999999</v>
      </c>
      <c r="AQ167">
        <f t="shared" si="14"/>
        <v>999999999999</v>
      </c>
      <c r="AR167">
        <f t="shared" si="19"/>
        <v>0</v>
      </c>
    </row>
    <row r="168" spans="25:44">
      <c r="Y168" t="str">
        <f>IF('06 - FLOW'!A40&lt;&gt;"",IF('06 - FLOW'!F40="","",'06 - FLOW'!F40),"")</f>
        <v/>
      </c>
      <c r="Z168" t="str">
        <f>IF('06 - FLOW'!A40&lt;&gt;"","Flow","")</f>
        <v/>
      </c>
      <c r="AA168" t="str">
        <f>IF('06 - FLOW'!A40&lt;&gt;"",IF('06 - FLOW'!A40="","",'06 - FLOW'!A40),"")</f>
        <v/>
      </c>
      <c r="AB168" t="str">
        <f>IF('06 - FLOW'!A40&lt;&gt;"",IF('06 - FLOW'!B40="","",'06 - FLOW'!B40),"")</f>
        <v/>
      </c>
      <c r="AC168" t="str">
        <f>IF('06 - FLOW'!A40&lt;&gt;"",IF('06 - FLOW'!G40="","",'06 - FLOW'!G40),"")</f>
        <v/>
      </c>
      <c r="AD168" t="str">
        <f>IF('06 - FLOW'!A40&lt;&gt;"",IF('06 - FLOW'!H40="","",'06 - FLOW'!H40),"")</f>
        <v/>
      </c>
      <c r="AE168" t="str">
        <f>IF('06 - FLOW'!A40&lt;&gt;"",IF('06 - FLOW'!D40="","",'06 - FLOW'!D40),"")</f>
        <v/>
      </c>
      <c r="AF168" s="17" t="str">
        <f>IF('06 - FLOW'!A40&lt;&gt;"",IF('06 - FLOW'!E40="","",'06 - FLOW'!E40),"")</f>
        <v/>
      </c>
      <c r="AG168" t="str">
        <f>IF('06 - FLOW'!A40&lt;&gt;"",IF('06 - FLOW'!I40="","",'06 - FLOW'!I40),"")</f>
        <v/>
      </c>
      <c r="AH168" t="str">
        <f>IF('06 - FLOW'!A40&lt;&gt;"",IF('06 - FLOW'!J40="","",'06 - FLOW'!J40),"")</f>
        <v/>
      </c>
      <c r="AI168" t="str">
        <f>IF('06 - FLOW'!A40&lt;&gt;"",IF('06 - FLOW'!C40="","",'06 - FLOW'!C40),"")</f>
        <v/>
      </c>
      <c r="AJ168" t="str">
        <f>IF('06 - FLOW'!A40&lt;&gt;"","06 - FLOW row 40","")</f>
        <v/>
      </c>
      <c r="AK168">
        <f>IF(AND('06 - FLOW'!A40&lt;&gt;"",OR('06 - FLOW'!C40&lt;&gt;"Accepted",'06 - FLOW'!G40&lt;&gt;""),OR(AC168&lt;&gt;"",AD168&lt;&gt;"")),IF(Y168="Critical",1,IF(Y168="Review",2,3))*100000000+IF(ISNUMBER(AF168),AF168,99999)*1000+ROW(),999999999999)</f>
        <v>999999999999</v>
      </c>
      <c r="AL168">
        <f t="shared" si="16"/>
        <v>999999999999</v>
      </c>
      <c r="AM168">
        <f t="shared" si="20"/>
        <v>999999999999</v>
      </c>
      <c r="AN168">
        <f t="shared" si="17"/>
        <v>999999999999</v>
      </c>
      <c r="AO168">
        <f t="shared" si="18"/>
        <v>999999999999</v>
      </c>
      <c r="AP168">
        <f t="shared" si="15"/>
        <v>999999999999</v>
      </c>
      <c r="AQ168">
        <f t="shared" si="14"/>
        <v>999999999999</v>
      </c>
      <c r="AR168">
        <f t="shared" si="19"/>
        <v>0</v>
      </c>
    </row>
    <row r="169" spans="25:44">
      <c r="Y169" t="str">
        <f>IF('06 - FLOW'!A41&lt;&gt;"",IF('06 - FLOW'!F41="","",'06 - FLOW'!F41),"")</f>
        <v/>
      </c>
      <c r="Z169" t="str">
        <f>IF('06 - FLOW'!A41&lt;&gt;"","Flow","")</f>
        <v/>
      </c>
      <c r="AA169" t="str">
        <f>IF('06 - FLOW'!A41&lt;&gt;"",IF('06 - FLOW'!A41="","",'06 - FLOW'!A41),"")</f>
        <v/>
      </c>
      <c r="AB169" t="str">
        <f>IF('06 - FLOW'!A41&lt;&gt;"",IF('06 - FLOW'!B41="","",'06 - FLOW'!B41),"")</f>
        <v/>
      </c>
      <c r="AC169" t="str">
        <f>IF('06 - FLOW'!A41&lt;&gt;"",IF('06 - FLOW'!G41="","",'06 - FLOW'!G41),"")</f>
        <v/>
      </c>
      <c r="AD169" t="str">
        <f>IF('06 - FLOW'!A41&lt;&gt;"",IF('06 - FLOW'!H41="","",'06 - FLOW'!H41),"")</f>
        <v/>
      </c>
      <c r="AE169" t="str">
        <f>IF('06 - FLOW'!A41&lt;&gt;"",IF('06 - FLOW'!D41="","",'06 - FLOW'!D41),"")</f>
        <v/>
      </c>
      <c r="AF169" s="17" t="str">
        <f>IF('06 - FLOW'!A41&lt;&gt;"",IF('06 - FLOW'!E41="","",'06 - FLOW'!E41),"")</f>
        <v/>
      </c>
      <c r="AG169" t="str">
        <f>IF('06 - FLOW'!A41&lt;&gt;"",IF('06 - FLOW'!I41="","",'06 - FLOW'!I41),"")</f>
        <v/>
      </c>
      <c r="AH169" t="str">
        <f>IF('06 - FLOW'!A41&lt;&gt;"",IF('06 - FLOW'!J41="","",'06 - FLOW'!J41),"")</f>
        <v/>
      </c>
      <c r="AI169" t="str">
        <f>IF('06 - FLOW'!A41&lt;&gt;"",IF('06 - FLOW'!C41="","",'06 - FLOW'!C41),"")</f>
        <v/>
      </c>
      <c r="AJ169" t="str">
        <f>IF('06 - FLOW'!A41&lt;&gt;"","06 - FLOW row 41","")</f>
        <v/>
      </c>
      <c r="AK169">
        <f>IF(AND('06 - FLOW'!A41&lt;&gt;"",OR('06 - FLOW'!C41&lt;&gt;"Accepted",'06 - FLOW'!G41&lt;&gt;""),OR(AC169&lt;&gt;"",AD169&lt;&gt;"")),IF(Y169="Critical",1,IF(Y169="Review",2,3))*100000000+IF(ISNUMBER(AF169),AF169,99999)*1000+ROW(),999999999999)</f>
        <v>999999999999</v>
      </c>
      <c r="AL169">
        <f t="shared" si="16"/>
        <v>999999999999</v>
      </c>
      <c r="AM169">
        <f t="shared" si="20"/>
        <v>999999999999</v>
      </c>
      <c r="AN169">
        <f t="shared" si="17"/>
        <v>999999999999</v>
      </c>
      <c r="AO169">
        <f t="shared" si="18"/>
        <v>999999999999</v>
      </c>
      <c r="AP169">
        <f t="shared" si="15"/>
        <v>999999999999</v>
      </c>
      <c r="AQ169">
        <f t="shared" si="14"/>
        <v>999999999999</v>
      </c>
      <c r="AR169">
        <f t="shared" si="19"/>
        <v>0</v>
      </c>
    </row>
    <row r="170" spans="25:44">
      <c r="Y170" t="str">
        <f>IF('06 - FLOW'!A42&lt;&gt;"",IF('06 - FLOW'!F42="","",'06 - FLOW'!F42),"")</f>
        <v/>
      </c>
      <c r="Z170" t="str">
        <f>IF('06 - FLOW'!A42&lt;&gt;"","Flow","")</f>
        <v/>
      </c>
      <c r="AA170" t="str">
        <f>IF('06 - FLOW'!A42&lt;&gt;"",IF('06 - FLOW'!A42="","",'06 - FLOW'!A42),"")</f>
        <v/>
      </c>
      <c r="AB170" t="str">
        <f>IF('06 - FLOW'!A42&lt;&gt;"",IF('06 - FLOW'!B42="","",'06 - FLOW'!B42),"")</f>
        <v/>
      </c>
      <c r="AC170" t="str">
        <f>IF('06 - FLOW'!A42&lt;&gt;"",IF('06 - FLOW'!G42="","",'06 - FLOW'!G42),"")</f>
        <v/>
      </c>
      <c r="AD170" t="str">
        <f>IF('06 - FLOW'!A42&lt;&gt;"",IF('06 - FLOW'!H42="","",'06 - FLOW'!H42),"")</f>
        <v/>
      </c>
      <c r="AE170" t="str">
        <f>IF('06 - FLOW'!A42&lt;&gt;"",IF('06 - FLOW'!D42="","",'06 - FLOW'!D42),"")</f>
        <v/>
      </c>
      <c r="AF170" s="17" t="str">
        <f>IF('06 - FLOW'!A42&lt;&gt;"",IF('06 - FLOW'!E42="","",'06 - FLOW'!E42),"")</f>
        <v/>
      </c>
      <c r="AG170" t="str">
        <f>IF('06 - FLOW'!A42&lt;&gt;"",IF('06 - FLOW'!I42="","",'06 - FLOW'!I42),"")</f>
        <v/>
      </c>
      <c r="AH170" t="str">
        <f>IF('06 - FLOW'!A42&lt;&gt;"",IF('06 - FLOW'!J42="","",'06 - FLOW'!J42),"")</f>
        <v/>
      </c>
      <c r="AI170" t="str">
        <f>IF('06 - FLOW'!A42&lt;&gt;"",IF('06 - FLOW'!C42="","",'06 - FLOW'!C42),"")</f>
        <v/>
      </c>
      <c r="AJ170" t="str">
        <f>IF('06 - FLOW'!A42&lt;&gt;"","06 - FLOW row 42","")</f>
        <v/>
      </c>
      <c r="AK170">
        <f>IF(AND('06 - FLOW'!A42&lt;&gt;"",OR('06 - FLOW'!C42&lt;&gt;"Accepted",'06 - FLOW'!G42&lt;&gt;""),OR(AC170&lt;&gt;"",AD170&lt;&gt;"")),IF(Y170="Critical",1,IF(Y170="Review",2,3))*100000000+IF(ISNUMBER(AF170),AF170,99999)*1000+ROW(),999999999999)</f>
        <v>999999999999</v>
      </c>
      <c r="AL170">
        <f t="shared" si="16"/>
        <v>999999999999</v>
      </c>
      <c r="AM170">
        <f t="shared" si="20"/>
        <v>999999999999</v>
      </c>
      <c r="AN170">
        <f t="shared" si="17"/>
        <v>999999999999</v>
      </c>
      <c r="AO170">
        <f t="shared" si="18"/>
        <v>999999999999</v>
      </c>
      <c r="AP170">
        <f t="shared" si="15"/>
        <v>999999999999</v>
      </c>
      <c r="AQ170">
        <f t="shared" si="14"/>
        <v>999999999999</v>
      </c>
      <c r="AR170">
        <f t="shared" si="19"/>
        <v>0</v>
      </c>
    </row>
    <row r="171" spans="25:44">
      <c r="Y171" t="str">
        <f>IF('06 - FLOW'!A43&lt;&gt;"",IF('06 - FLOW'!F43="","",'06 - FLOW'!F43),"")</f>
        <v/>
      </c>
      <c r="Z171" t="str">
        <f>IF('06 - FLOW'!A43&lt;&gt;"","Flow","")</f>
        <v/>
      </c>
      <c r="AA171" t="str">
        <f>IF('06 - FLOW'!A43&lt;&gt;"",IF('06 - FLOW'!A43="","",'06 - FLOW'!A43),"")</f>
        <v/>
      </c>
      <c r="AB171" t="str">
        <f>IF('06 - FLOW'!A43&lt;&gt;"",IF('06 - FLOW'!B43="","",'06 - FLOW'!B43),"")</f>
        <v/>
      </c>
      <c r="AC171" t="str">
        <f>IF('06 - FLOW'!A43&lt;&gt;"",IF('06 - FLOW'!G43="","",'06 - FLOW'!G43),"")</f>
        <v/>
      </c>
      <c r="AD171" t="str">
        <f>IF('06 - FLOW'!A43&lt;&gt;"",IF('06 - FLOW'!H43="","",'06 - FLOW'!H43),"")</f>
        <v/>
      </c>
      <c r="AE171" t="str">
        <f>IF('06 - FLOW'!A43&lt;&gt;"",IF('06 - FLOW'!D43="","",'06 - FLOW'!D43),"")</f>
        <v/>
      </c>
      <c r="AF171" s="17" t="str">
        <f>IF('06 - FLOW'!A43&lt;&gt;"",IF('06 - FLOW'!E43="","",'06 - FLOW'!E43),"")</f>
        <v/>
      </c>
      <c r="AG171" t="str">
        <f>IF('06 - FLOW'!A43&lt;&gt;"",IF('06 - FLOW'!I43="","",'06 - FLOW'!I43),"")</f>
        <v/>
      </c>
      <c r="AH171" t="str">
        <f>IF('06 - FLOW'!A43&lt;&gt;"",IF('06 - FLOW'!J43="","",'06 - FLOW'!J43),"")</f>
        <v/>
      </c>
      <c r="AI171" t="str">
        <f>IF('06 - FLOW'!A43&lt;&gt;"",IF('06 - FLOW'!C43="","",'06 - FLOW'!C43),"")</f>
        <v/>
      </c>
      <c r="AJ171" t="str">
        <f>IF('06 - FLOW'!A43&lt;&gt;"","06 - FLOW row 43","")</f>
        <v/>
      </c>
      <c r="AK171">
        <f>IF(AND('06 - FLOW'!A43&lt;&gt;"",OR('06 - FLOW'!C43&lt;&gt;"Accepted",'06 - FLOW'!G43&lt;&gt;""),OR(AC171&lt;&gt;"",AD171&lt;&gt;"")),IF(Y171="Critical",1,IF(Y171="Review",2,3))*100000000+IF(ISNUMBER(AF171),AF171,99999)*1000+ROW(),999999999999)</f>
        <v>999999999999</v>
      </c>
      <c r="AL171">
        <f t="shared" si="16"/>
        <v>999999999999</v>
      </c>
      <c r="AM171">
        <f t="shared" si="20"/>
        <v>999999999999</v>
      </c>
      <c r="AN171">
        <f t="shared" si="17"/>
        <v>999999999999</v>
      </c>
      <c r="AO171">
        <f t="shared" si="18"/>
        <v>999999999999</v>
      </c>
      <c r="AP171">
        <f t="shared" si="15"/>
        <v>999999999999</v>
      </c>
      <c r="AQ171">
        <f t="shared" si="14"/>
        <v>999999999999</v>
      </c>
      <c r="AR171">
        <f t="shared" si="19"/>
        <v>0</v>
      </c>
    </row>
    <row r="172" spans="25:44">
      <c r="Y172" t="str">
        <f>IF('06 - FLOW'!A44&lt;&gt;"",IF('06 - FLOW'!F44="","",'06 - FLOW'!F44),"")</f>
        <v/>
      </c>
      <c r="Z172" t="str">
        <f>IF('06 - FLOW'!A44&lt;&gt;"","Flow","")</f>
        <v/>
      </c>
      <c r="AA172" t="str">
        <f>IF('06 - FLOW'!A44&lt;&gt;"",IF('06 - FLOW'!A44="","",'06 - FLOW'!A44),"")</f>
        <v/>
      </c>
      <c r="AB172" t="str">
        <f>IF('06 - FLOW'!A44&lt;&gt;"",IF('06 - FLOW'!B44="","",'06 - FLOW'!B44),"")</f>
        <v/>
      </c>
      <c r="AC172" t="str">
        <f>IF('06 - FLOW'!A44&lt;&gt;"",IF('06 - FLOW'!G44="","",'06 - FLOW'!G44),"")</f>
        <v/>
      </c>
      <c r="AD172" t="str">
        <f>IF('06 - FLOW'!A44&lt;&gt;"",IF('06 - FLOW'!H44="","",'06 - FLOW'!H44),"")</f>
        <v/>
      </c>
      <c r="AE172" t="str">
        <f>IF('06 - FLOW'!A44&lt;&gt;"",IF('06 - FLOW'!D44="","",'06 - FLOW'!D44),"")</f>
        <v/>
      </c>
      <c r="AF172" s="17" t="str">
        <f>IF('06 - FLOW'!A44&lt;&gt;"",IF('06 - FLOW'!E44="","",'06 - FLOW'!E44),"")</f>
        <v/>
      </c>
      <c r="AG172" t="str">
        <f>IF('06 - FLOW'!A44&lt;&gt;"",IF('06 - FLOW'!I44="","",'06 - FLOW'!I44),"")</f>
        <v/>
      </c>
      <c r="AH172" t="str">
        <f>IF('06 - FLOW'!A44&lt;&gt;"",IF('06 - FLOW'!J44="","",'06 - FLOW'!J44),"")</f>
        <v/>
      </c>
      <c r="AI172" t="str">
        <f>IF('06 - FLOW'!A44&lt;&gt;"",IF('06 - FLOW'!C44="","",'06 - FLOW'!C44),"")</f>
        <v/>
      </c>
      <c r="AJ172" t="str">
        <f>IF('06 - FLOW'!A44&lt;&gt;"","06 - FLOW row 44","")</f>
        <v/>
      </c>
      <c r="AK172">
        <f>IF(AND('06 - FLOW'!A44&lt;&gt;"",OR('06 - FLOW'!C44&lt;&gt;"Accepted",'06 - FLOW'!G44&lt;&gt;""),OR(AC172&lt;&gt;"",AD172&lt;&gt;"")),IF(Y172="Critical",1,IF(Y172="Review",2,3))*100000000+IF(ISNUMBER(AF172),AF172,99999)*1000+ROW(),999999999999)</f>
        <v>999999999999</v>
      </c>
      <c r="AL172">
        <f t="shared" si="16"/>
        <v>999999999999</v>
      </c>
      <c r="AM172">
        <f t="shared" si="20"/>
        <v>999999999999</v>
      </c>
      <c r="AN172">
        <f t="shared" si="17"/>
        <v>999999999999</v>
      </c>
      <c r="AO172">
        <f t="shared" si="18"/>
        <v>999999999999</v>
      </c>
      <c r="AP172">
        <f t="shared" si="15"/>
        <v>999999999999</v>
      </c>
      <c r="AQ172">
        <f t="shared" si="14"/>
        <v>999999999999</v>
      </c>
      <c r="AR172">
        <f t="shared" si="19"/>
        <v>0</v>
      </c>
    </row>
    <row r="173" spans="25:44">
      <c r="Y173" t="str">
        <f>IF('06 - FLOW'!A45&lt;&gt;"",IF('06 - FLOW'!F45="","",'06 - FLOW'!F45),"")</f>
        <v/>
      </c>
      <c r="Z173" t="str">
        <f>IF('06 - FLOW'!A45&lt;&gt;"","Flow","")</f>
        <v/>
      </c>
      <c r="AA173" t="str">
        <f>IF('06 - FLOW'!A45&lt;&gt;"",IF('06 - FLOW'!A45="","",'06 - FLOW'!A45),"")</f>
        <v/>
      </c>
      <c r="AB173" t="str">
        <f>IF('06 - FLOW'!A45&lt;&gt;"",IF('06 - FLOW'!B45="","",'06 - FLOW'!B45),"")</f>
        <v/>
      </c>
      <c r="AC173" t="str">
        <f>IF('06 - FLOW'!A45&lt;&gt;"",IF('06 - FLOW'!G45="","",'06 - FLOW'!G45),"")</f>
        <v/>
      </c>
      <c r="AD173" t="str">
        <f>IF('06 - FLOW'!A45&lt;&gt;"",IF('06 - FLOW'!H45="","",'06 - FLOW'!H45),"")</f>
        <v/>
      </c>
      <c r="AE173" t="str">
        <f>IF('06 - FLOW'!A45&lt;&gt;"",IF('06 - FLOW'!D45="","",'06 - FLOW'!D45),"")</f>
        <v/>
      </c>
      <c r="AF173" s="17" t="str">
        <f>IF('06 - FLOW'!A45&lt;&gt;"",IF('06 - FLOW'!E45="","",'06 - FLOW'!E45),"")</f>
        <v/>
      </c>
      <c r="AG173" t="str">
        <f>IF('06 - FLOW'!A45&lt;&gt;"",IF('06 - FLOW'!I45="","",'06 - FLOW'!I45),"")</f>
        <v/>
      </c>
      <c r="AH173" t="str">
        <f>IF('06 - FLOW'!A45&lt;&gt;"",IF('06 - FLOW'!J45="","",'06 - FLOW'!J45),"")</f>
        <v/>
      </c>
      <c r="AI173" t="str">
        <f>IF('06 - FLOW'!A45&lt;&gt;"",IF('06 - FLOW'!C45="","",'06 - FLOW'!C45),"")</f>
        <v/>
      </c>
      <c r="AJ173" t="str">
        <f>IF('06 - FLOW'!A45&lt;&gt;"","06 - FLOW row 45","")</f>
        <v/>
      </c>
      <c r="AK173">
        <f>IF(AND('06 - FLOW'!A45&lt;&gt;"",OR('06 - FLOW'!C45&lt;&gt;"Accepted",'06 - FLOW'!G45&lt;&gt;""),OR(AC173&lt;&gt;"",AD173&lt;&gt;"")),IF(Y173="Critical",1,IF(Y173="Review",2,3))*100000000+IF(ISNUMBER(AF173),AF173,99999)*1000+ROW(),999999999999)</f>
        <v>999999999999</v>
      </c>
      <c r="AL173">
        <f t="shared" si="16"/>
        <v>999999999999</v>
      </c>
      <c r="AM173">
        <f t="shared" si="20"/>
        <v>999999999999</v>
      </c>
      <c r="AN173">
        <f t="shared" si="17"/>
        <v>999999999999</v>
      </c>
      <c r="AO173">
        <f t="shared" si="18"/>
        <v>999999999999</v>
      </c>
      <c r="AP173">
        <f t="shared" si="15"/>
        <v>999999999999</v>
      </c>
      <c r="AQ173">
        <f t="shared" si="14"/>
        <v>999999999999</v>
      </c>
      <c r="AR173">
        <f t="shared" si="19"/>
        <v>0</v>
      </c>
    </row>
    <row r="174" spans="25:44">
      <c r="Y174" t="str">
        <f>IF('06 - FLOW'!A46&lt;&gt;"",IF('06 - FLOW'!F46="","",'06 - FLOW'!F46),"")</f>
        <v/>
      </c>
      <c r="Z174" t="str">
        <f>IF('06 - FLOW'!A46&lt;&gt;"","Flow","")</f>
        <v/>
      </c>
      <c r="AA174" t="str">
        <f>IF('06 - FLOW'!A46&lt;&gt;"",IF('06 - FLOW'!A46="","",'06 - FLOW'!A46),"")</f>
        <v/>
      </c>
      <c r="AB174" t="str">
        <f>IF('06 - FLOW'!A46&lt;&gt;"",IF('06 - FLOW'!B46="","",'06 - FLOW'!B46),"")</f>
        <v/>
      </c>
      <c r="AC174" t="str">
        <f>IF('06 - FLOW'!A46&lt;&gt;"",IF('06 - FLOW'!G46="","",'06 - FLOW'!G46),"")</f>
        <v/>
      </c>
      <c r="AD174" t="str">
        <f>IF('06 - FLOW'!A46&lt;&gt;"",IF('06 - FLOW'!H46="","",'06 - FLOW'!H46),"")</f>
        <v/>
      </c>
      <c r="AE174" t="str">
        <f>IF('06 - FLOW'!A46&lt;&gt;"",IF('06 - FLOW'!D46="","",'06 - FLOW'!D46),"")</f>
        <v/>
      </c>
      <c r="AF174" s="17" t="str">
        <f>IF('06 - FLOW'!A46&lt;&gt;"",IF('06 - FLOW'!E46="","",'06 - FLOW'!E46),"")</f>
        <v/>
      </c>
      <c r="AG174" t="str">
        <f>IF('06 - FLOW'!A46&lt;&gt;"",IF('06 - FLOW'!I46="","",'06 - FLOW'!I46),"")</f>
        <v/>
      </c>
      <c r="AH174" t="str">
        <f>IF('06 - FLOW'!A46&lt;&gt;"",IF('06 - FLOW'!J46="","",'06 - FLOW'!J46),"")</f>
        <v/>
      </c>
      <c r="AI174" t="str">
        <f>IF('06 - FLOW'!A46&lt;&gt;"",IF('06 - FLOW'!C46="","",'06 - FLOW'!C46),"")</f>
        <v/>
      </c>
      <c r="AJ174" t="str">
        <f>IF('06 - FLOW'!A46&lt;&gt;"","06 - FLOW row 46","")</f>
        <v/>
      </c>
      <c r="AK174">
        <f>IF(AND('06 - FLOW'!A46&lt;&gt;"",OR('06 - FLOW'!C46&lt;&gt;"Accepted",'06 - FLOW'!G46&lt;&gt;""),OR(AC174&lt;&gt;"",AD174&lt;&gt;"")),IF(Y174="Critical",1,IF(Y174="Review",2,3))*100000000+IF(ISNUMBER(AF174),AF174,99999)*1000+ROW(),999999999999)</f>
        <v>999999999999</v>
      </c>
      <c r="AL174">
        <f t="shared" si="16"/>
        <v>999999999999</v>
      </c>
      <c r="AM174">
        <f t="shared" si="20"/>
        <v>999999999999</v>
      </c>
      <c r="AN174">
        <f t="shared" si="17"/>
        <v>999999999999</v>
      </c>
      <c r="AO174">
        <f t="shared" si="18"/>
        <v>999999999999</v>
      </c>
      <c r="AP174">
        <f t="shared" si="15"/>
        <v>999999999999</v>
      </c>
      <c r="AQ174">
        <f t="shared" si="14"/>
        <v>999999999999</v>
      </c>
      <c r="AR174">
        <f t="shared" si="19"/>
        <v>0</v>
      </c>
    </row>
    <row r="175" spans="25:44">
      <c r="Y175" t="str">
        <f>IF('06 - FLOW'!A47&lt;&gt;"",IF('06 - FLOW'!F47="","",'06 - FLOW'!F47),"")</f>
        <v/>
      </c>
      <c r="Z175" t="str">
        <f>IF('06 - FLOW'!A47&lt;&gt;"","Flow","")</f>
        <v/>
      </c>
      <c r="AA175" t="str">
        <f>IF('06 - FLOW'!A47&lt;&gt;"",IF('06 - FLOW'!A47="","",'06 - FLOW'!A47),"")</f>
        <v/>
      </c>
      <c r="AB175" t="str">
        <f>IF('06 - FLOW'!A47&lt;&gt;"",IF('06 - FLOW'!B47="","",'06 - FLOW'!B47),"")</f>
        <v/>
      </c>
      <c r="AC175" t="str">
        <f>IF('06 - FLOW'!A47&lt;&gt;"",IF('06 - FLOW'!G47="","",'06 - FLOW'!G47),"")</f>
        <v/>
      </c>
      <c r="AD175" t="str">
        <f>IF('06 - FLOW'!A47&lt;&gt;"",IF('06 - FLOW'!H47="","",'06 - FLOW'!H47),"")</f>
        <v/>
      </c>
      <c r="AE175" t="str">
        <f>IF('06 - FLOW'!A47&lt;&gt;"",IF('06 - FLOW'!D47="","",'06 - FLOW'!D47),"")</f>
        <v/>
      </c>
      <c r="AF175" s="17" t="str">
        <f>IF('06 - FLOW'!A47&lt;&gt;"",IF('06 - FLOW'!E47="","",'06 - FLOW'!E47),"")</f>
        <v/>
      </c>
      <c r="AG175" t="str">
        <f>IF('06 - FLOW'!A47&lt;&gt;"",IF('06 - FLOW'!I47="","",'06 - FLOW'!I47),"")</f>
        <v/>
      </c>
      <c r="AH175" t="str">
        <f>IF('06 - FLOW'!A47&lt;&gt;"",IF('06 - FLOW'!J47="","",'06 - FLOW'!J47),"")</f>
        <v/>
      </c>
      <c r="AI175" t="str">
        <f>IF('06 - FLOW'!A47&lt;&gt;"",IF('06 - FLOW'!C47="","",'06 - FLOW'!C47),"")</f>
        <v/>
      </c>
      <c r="AJ175" t="str">
        <f>IF('06 - FLOW'!A47&lt;&gt;"","06 - FLOW row 47","")</f>
        <v/>
      </c>
      <c r="AK175">
        <f>IF(AND('06 - FLOW'!A47&lt;&gt;"",OR('06 - FLOW'!C47&lt;&gt;"Accepted",'06 - FLOW'!G47&lt;&gt;""),OR(AC175&lt;&gt;"",AD175&lt;&gt;"")),IF(Y175="Critical",1,IF(Y175="Review",2,3))*100000000+IF(ISNUMBER(AF175),AF175,99999)*1000+ROW(),999999999999)</f>
        <v>999999999999</v>
      </c>
      <c r="AL175">
        <f t="shared" si="16"/>
        <v>999999999999</v>
      </c>
      <c r="AM175">
        <f t="shared" si="20"/>
        <v>999999999999</v>
      </c>
      <c r="AN175">
        <f t="shared" si="17"/>
        <v>999999999999</v>
      </c>
      <c r="AO175">
        <f t="shared" si="18"/>
        <v>999999999999</v>
      </c>
      <c r="AP175">
        <f t="shared" si="15"/>
        <v>999999999999</v>
      </c>
      <c r="AQ175">
        <f t="shared" si="14"/>
        <v>999999999999</v>
      </c>
      <c r="AR175">
        <f t="shared" si="19"/>
        <v>0</v>
      </c>
    </row>
    <row r="176" spans="25:44">
      <c r="Y176" t="str">
        <f>IF('06 - FLOW'!A48&lt;&gt;"",IF('06 - FLOW'!F48="","",'06 - FLOW'!F48),"")</f>
        <v/>
      </c>
      <c r="Z176" t="str">
        <f>IF('06 - FLOW'!A48&lt;&gt;"","Flow","")</f>
        <v/>
      </c>
      <c r="AA176" t="str">
        <f>IF('06 - FLOW'!A48&lt;&gt;"",IF('06 - FLOW'!A48="","",'06 - FLOW'!A48),"")</f>
        <v/>
      </c>
      <c r="AB176" t="str">
        <f>IF('06 - FLOW'!A48&lt;&gt;"",IF('06 - FLOW'!B48="","",'06 - FLOW'!B48),"")</f>
        <v/>
      </c>
      <c r="AC176" t="str">
        <f>IF('06 - FLOW'!A48&lt;&gt;"",IF('06 - FLOW'!G48="","",'06 - FLOW'!G48),"")</f>
        <v/>
      </c>
      <c r="AD176" t="str">
        <f>IF('06 - FLOW'!A48&lt;&gt;"",IF('06 - FLOW'!H48="","",'06 - FLOW'!H48),"")</f>
        <v/>
      </c>
      <c r="AE176" t="str">
        <f>IF('06 - FLOW'!A48&lt;&gt;"",IF('06 - FLOW'!D48="","",'06 - FLOW'!D48),"")</f>
        <v/>
      </c>
      <c r="AF176" s="17" t="str">
        <f>IF('06 - FLOW'!A48&lt;&gt;"",IF('06 - FLOW'!E48="","",'06 - FLOW'!E48),"")</f>
        <v/>
      </c>
      <c r="AG176" t="str">
        <f>IF('06 - FLOW'!A48&lt;&gt;"",IF('06 - FLOW'!I48="","",'06 - FLOW'!I48),"")</f>
        <v/>
      </c>
      <c r="AH176" t="str">
        <f>IF('06 - FLOW'!A48&lt;&gt;"",IF('06 - FLOW'!J48="","",'06 - FLOW'!J48),"")</f>
        <v/>
      </c>
      <c r="AI176" t="str">
        <f>IF('06 - FLOW'!A48&lt;&gt;"",IF('06 - FLOW'!C48="","",'06 - FLOW'!C48),"")</f>
        <v/>
      </c>
      <c r="AJ176" t="str">
        <f>IF('06 - FLOW'!A48&lt;&gt;"","06 - FLOW row 48","")</f>
        <v/>
      </c>
      <c r="AK176">
        <f>IF(AND('06 - FLOW'!A48&lt;&gt;"",OR('06 - FLOW'!C48&lt;&gt;"Accepted",'06 - FLOW'!G48&lt;&gt;""),OR(AC176&lt;&gt;"",AD176&lt;&gt;"")),IF(Y176="Critical",1,IF(Y176="Review",2,3))*100000000+IF(ISNUMBER(AF176),AF176,99999)*1000+ROW(),999999999999)</f>
        <v>999999999999</v>
      </c>
      <c r="AL176">
        <f t="shared" si="16"/>
        <v>999999999999</v>
      </c>
      <c r="AM176">
        <f t="shared" si="20"/>
        <v>999999999999</v>
      </c>
      <c r="AN176">
        <f t="shared" si="17"/>
        <v>999999999999</v>
      </c>
      <c r="AO176">
        <f t="shared" si="18"/>
        <v>999999999999</v>
      </c>
      <c r="AP176">
        <f t="shared" si="15"/>
        <v>999999999999</v>
      </c>
      <c r="AQ176">
        <f t="shared" si="14"/>
        <v>999999999999</v>
      </c>
      <c r="AR176">
        <f t="shared" si="19"/>
        <v>0</v>
      </c>
    </row>
    <row r="177" spans="25:44">
      <c r="Y177" t="str">
        <f>IF('06 - FLOW'!A49&lt;&gt;"",IF('06 - FLOW'!F49="","",'06 - FLOW'!F49),"")</f>
        <v/>
      </c>
      <c r="Z177" t="str">
        <f>IF('06 - FLOW'!A49&lt;&gt;"","Flow","")</f>
        <v/>
      </c>
      <c r="AA177" t="str">
        <f>IF('06 - FLOW'!A49&lt;&gt;"",IF('06 - FLOW'!A49="","",'06 - FLOW'!A49),"")</f>
        <v/>
      </c>
      <c r="AB177" t="str">
        <f>IF('06 - FLOW'!A49&lt;&gt;"",IF('06 - FLOW'!B49="","",'06 - FLOW'!B49),"")</f>
        <v/>
      </c>
      <c r="AC177" t="str">
        <f>IF('06 - FLOW'!A49&lt;&gt;"",IF('06 - FLOW'!G49="","",'06 - FLOW'!G49),"")</f>
        <v/>
      </c>
      <c r="AD177" t="str">
        <f>IF('06 - FLOW'!A49&lt;&gt;"",IF('06 - FLOW'!H49="","",'06 - FLOW'!H49),"")</f>
        <v/>
      </c>
      <c r="AE177" t="str">
        <f>IF('06 - FLOW'!A49&lt;&gt;"",IF('06 - FLOW'!D49="","",'06 - FLOW'!D49),"")</f>
        <v/>
      </c>
      <c r="AF177" s="17" t="str">
        <f>IF('06 - FLOW'!A49&lt;&gt;"",IF('06 - FLOW'!E49="","",'06 - FLOW'!E49),"")</f>
        <v/>
      </c>
      <c r="AG177" t="str">
        <f>IF('06 - FLOW'!A49&lt;&gt;"",IF('06 - FLOW'!I49="","",'06 - FLOW'!I49),"")</f>
        <v/>
      </c>
      <c r="AH177" t="str">
        <f>IF('06 - FLOW'!A49&lt;&gt;"",IF('06 - FLOW'!J49="","",'06 - FLOW'!J49),"")</f>
        <v/>
      </c>
      <c r="AI177" t="str">
        <f>IF('06 - FLOW'!A49&lt;&gt;"",IF('06 - FLOW'!C49="","",'06 - FLOW'!C49),"")</f>
        <v/>
      </c>
      <c r="AJ177" t="str">
        <f>IF('06 - FLOW'!A49&lt;&gt;"","06 - FLOW row 49","")</f>
        <v/>
      </c>
      <c r="AK177">
        <f>IF(AND('06 - FLOW'!A49&lt;&gt;"",OR('06 - FLOW'!C49&lt;&gt;"Accepted",'06 - FLOW'!G49&lt;&gt;""),OR(AC177&lt;&gt;"",AD177&lt;&gt;"")),IF(Y177="Critical",1,IF(Y177="Review",2,3))*100000000+IF(ISNUMBER(AF177),AF177,99999)*1000+ROW(),999999999999)</f>
        <v>999999999999</v>
      </c>
      <c r="AL177">
        <f t="shared" si="16"/>
        <v>999999999999</v>
      </c>
      <c r="AM177">
        <f t="shared" si="20"/>
        <v>999999999999</v>
      </c>
      <c r="AN177">
        <f t="shared" si="17"/>
        <v>999999999999</v>
      </c>
      <c r="AO177">
        <f t="shared" si="18"/>
        <v>999999999999</v>
      </c>
      <c r="AP177">
        <f t="shared" si="15"/>
        <v>999999999999</v>
      </c>
      <c r="AQ177">
        <f t="shared" si="14"/>
        <v>999999999999</v>
      </c>
      <c r="AR177">
        <f t="shared" si="19"/>
        <v>0</v>
      </c>
    </row>
    <row r="178" spans="25:44">
      <c r="Y178" t="str">
        <f>IF('06 - FLOW'!A50&lt;&gt;"",IF('06 - FLOW'!F50="","",'06 - FLOW'!F50),"")</f>
        <v/>
      </c>
      <c r="Z178" t="str">
        <f>IF('06 - FLOW'!A50&lt;&gt;"","Flow","")</f>
        <v/>
      </c>
      <c r="AA178" t="str">
        <f>IF('06 - FLOW'!A50&lt;&gt;"",IF('06 - FLOW'!A50="","",'06 - FLOW'!A50),"")</f>
        <v/>
      </c>
      <c r="AB178" t="str">
        <f>IF('06 - FLOW'!A50&lt;&gt;"",IF('06 - FLOW'!B50="","",'06 - FLOW'!B50),"")</f>
        <v/>
      </c>
      <c r="AC178" t="str">
        <f>IF('06 - FLOW'!A50&lt;&gt;"",IF('06 - FLOW'!G50="","",'06 - FLOW'!G50),"")</f>
        <v/>
      </c>
      <c r="AD178" t="str">
        <f>IF('06 - FLOW'!A50&lt;&gt;"",IF('06 - FLOW'!H50="","",'06 - FLOW'!H50),"")</f>
        <v/>
      </c>
      <c r="AE178" t="str">
        <f>IF('06 - FLOW'!A50&lt;&gt;"",IF('06 - FLOW'!D50="","",'06 - FLOW'!D50),"")</f>
        <v/>
      </c>
      <c r="AF178" s="17" t="str">
        <f>IF('06 - FLOW'!A50&lt;&gt;"",IF('06 - FLOW'!E50="","",'06 - FLOW'!E50),"")</f>
        <v/>
      </c>
      <c r="AG178" t="str">
        <f>IF('06 - FLOW'!A50&lt;&gt;"",IF('06 - FLOW'!I50="","",'06 - FLOW'!I50),"")</f>
        <v/>
      </c>
      <c r="AH178" t="str">
        <f>IF('06 - FLOW'!A50&lt;&gt;"",IF('06 - FLOW'!J50="","",'06 - FLOW'!J50),"")</f>
        <v/>
      </c>
      <c r="AI178" t="str">
        <f>IF('06 - FLOW'!A50&lt;&gt;"",IF('06 - FLOW'!C50="","",'06 - FLOW'!C50),"")</f>
        <v/>
      </c>
      <c r="AJ178" t="str">
        <f>IF('06 - FLOW'!A50&lt;&gt;"","06 - FLOW row 50","")</f>
        <v/>
      </c>
      <c r="AK178">
        <f>IF(AND('06 - FLOW'!A50&lt;&gt;"",OR('06 - FLOW'!C50&lt;&gt;"Accepted",'06 - FLOW'!G50&lt;&gt;""),OR(AC178&lt;&gt;"",AD178&lt;&gt;"")),IF(Y178="Critical",1,IF(Y178="Review",2,3))*100000000+IF(ISNUMBER(AF178),AF178,99999)*1000+ROW(),999999999999)</f>
        <v>999999999999</v>
      </c>
      <c r="AL178">
        <f t="shared" si="16"/>
        <v>999999999999</v>
      </c>
      <c r="AM178">
        <f t="shared" si="20"/>
        <v>999999999999</v>
      </c>
      <c r="AN178">
        <f t="shared" si="17"/>
        <v>999999999999</v>
      </c>
      <c r="AO178">
        <f t="shared" si="18"/>
        <v>999999999999</v>
      </c>
      <c r="AP178">
        <f t="shared" si="15"/>
        <v>999999999999</v>
      </c>
      <c r="AQ178">
        <f t="shared" si="14"/>
        <v>999999999999</v>
      </c>
      <c r="AR178">
        <f t="shared" si="19"/>
        <v>0</v>
      </c>
    </row>
    <row r="179" spans="25:44">
      <c r="Y179" t="str">
        <f>IF('06 - FLOW'!A51&lt;&gt;"",IF('06 - FLOW'!F51="","",'06 - FLOW'!F51),"")</f>
        <v/>
      </c>
      <c r="Z179" t="str">
        <f>IF('06 - FLOW'!A51&lt;&gt;"","Flow","")</f>
        <v/>
      </c>
      <c r="AA179" t="str">
        <f>IF('06 - FLOW'!A51&lt;&gt;"",IF('06 - FLOW'!A51="","",'06 - FLOW'!A51),"")</f>
        <v/>
      </c>
      <c r="AB179" t="str">
        <f>IF('06 - FLOW'!A51&lt;&gt;"",IF('06 - FLOW'!B51="","",'06 - FLOW'!B51),"")</f>
        <v/>
      </c>
      <c r="AC179" t="str">
        <f>IF('06 - FLOW'!A51&lt;&gt;"",IF('06 - FLOW'!G51="","",'06 - FLOW'!G51),"")</f>
        <v/>
      </c>
      <c r="AD179" t="str">
        <f>IF('06 - FLOW'!A51&lt;&gt;"",IF('06 - FLOW'!H51="","",'06 - FLOW'!H51),"")</f>
        <v/>
      </c>
      <c r="AE179" t="str">
        <f>IF('06 - FLOW'!A51&lt;&gt;"",IF('06 - FLOW'!D51="","",'06 - FLOW'!D51),"")</f>
        <v/>
      </c>
      <c r="AF179" s="17" t="str">
        <f>IF('06 - FLOW'!A51&lt;&gt;"",IF('06 - FLOW'!E51="","",'06 - FLOW'!E51),"")</f>
        <v/>
      </c>
      <c r="AG179" t="str">
        <f>IF('06 - FLOW'!A51&lt;&gt;"",IF('06 - FLOW'!I51="","",'06 - FLOW'!I51),"")</f>
        <v/>
      </c>
      <c r="AH179" t="str">
        <f>IF('06 - FLOW'!A51&lt;&gt;"",IF('06 - FLOW'!J51="","",'06 - FLOW'!J51),"")</f>
        <v/>
      </c>
      <c r="AI179" t="str">
        <f>IF('06 - FLOW'!A51&lt;&gt;"",IF('06 - FLOW'!C51="","",'06 - FLOW'!C51),"")</f>
        <v/>
      </c>
      <c r="AJ179" t="str">
        <f>IF('06 - FLOW'!A51&lt;&gt;"","06 - FLOW row 51","")</f>
        <v/>
      </c>
      <c r="AK179">
        <f>IF(AND('06 - FLOW'!A51&lt;&gt;"",OR('06 - FLOW'!C51&lt;&gt;"Accepted",'06 - FLOW'!G51&lt;&gt;""),OR(AC179&lt;&gt;"",AD179&lt;&gt;"")),IF(Y179="Critical",1,IF(Y179="Review",2,3))*100000000+IF(ISNUMBER(AF179),AF179,99999)*1000+ROW(),999999999999)</f>
        <v>999999999999</v>
      </c>
      <c r="AL179">
        <f t="shared" si="16"/>
        <v>999999999999</v>
      </c>
      <c r="AM179">
        <f t="shared" si="20"/>
        <v>999999999999</v>
      </c>
      <c r="AN179">
        <f t="shared" si="17"/>
        <v>999999999999</v>
      </c>
      <c r="AO179">
        <f t="shared" si="18"/>
        <v>999999999999</v>
      </c>
      <c r="AP179">
        <f t="shared" si="15"/>
        <v>999999999999</v>
      </c>
      <c r="AQ179">
        <f t="shared" si="14"/>
        <v>999999999999</v>
      </c>
      <c r="AR179">
        <f t="shared" si="19"/>
        <v>0</v>
      </c>
    </row>
    <row r="180" spans="25:44">
      <c r="Y180" t="str">
        <f>IF('06 - FLOW'!A52&lt;&gt;"",IF('06 - FLOW'!F52="","",'06 - FLOW'!F52),"")</f>
        <v/>
      </c>
      <c r="Z180" t="str">
        <f>IF('06 - FLOW'!A52&lt;&gt;"","Flow","")</f>
        <v/>
      </c>
      <c r="AA180" t="str">
        <f>IF('06 - FLOW'!A52&lt;&gt;"",IF('06 - FLOW'!A52="","",'06 - FLOW'!A52),"")</f>
        <v/>
      </c>
      <c r="AB180" t="str">
        <f>IF('06 - FLOW'!A52&lt;&gt;"",IF('06 - FLOW'!B52="","",'06 - FLOW'!B52),"")</f>
        <v/>
      </c>
      <c r="AC180" t="str">
        <f>IF('06 - FLOW'!A52&lt;&gt;"",IF('06 - FLOW'!G52="","",'06 - FLOW'!G52),"")</f>
        <v/>
      </c>
      <c r="AD180" t="str">
        <f>IF('06 - FLOW'!A52&lt;&gt;"",IF('06 - FLOW'!H52="","",'06 - FLOW'!H52),"")</f>
        <v/>
      </c>
      <c r="AE180" t="str">
        <f>IF('06 - FLOW'!A52&lt;&gt;"",IF('06 - FLOW'!D52="","",'06 - FLOW'!D52),"")</f>
        <v/>
      </c>
      <c r="AF180" s="17" t="str">
        <f>IF('06 - FLOW'!A52&lt;&gt;"",IF('06 - FLOW'!E52="","",'06 - FLOW'!E52),"")</f>
        <v/>
      </c>
      <c r="AG180" t="str">
        <f>IF('06 - FLOW'!A52&lt;&gt;"",IF('06 - FLOW'!I52="","",'06 - FLOW'!I52),"")</f>
        <v/>
      </c>
      <c r="AH180" t="str">
        <f>IF('06 - FLOW'!A52&lt;&gt;"",IF('06 - FLOW'!J52="","",'06 - FLOW'!J52),"")</f>
        <v/>
      </c>
      <c r="AI180" t="str">
        <f>IF('06 - FLOW'!A52&lt;&gt;"",IF('06 - FLOW'!C52="","",'06 - FLOW'!C52),"")</f>
        <v/>
      </c>
      <c r="AJ180" t="str">
        <f>IF('06 - FLOW'!A52&lt;&gt;"","06 - FLOW row 52","")</f>
        <v/>
      </c>
      <c r="AK180">
        <f>IF(AND('06 - FLOW'!A52&lt;&gt;"",OR('06 - FLOW'!C52&lt;&gt;"Accepted",'06 - FLOW'!G52&lt;&gt;""),OR(AC180&lt;&gt;"",AD180&lt;&gt;"")),IF(Y180="Critical",1,IF(Y180="Review",2,3))*100000000+IF(ISNUMBER(AF180),AF180,99999)*1000+ROW(),999999999999)</f>
        <v>999999999999</v>
      </c>
      <c r="AL180">
        <f t="shared" si="16"/>
        <v>999999999999</v>
      </c>
      <c r="AM180">
        <f t="shared" si="20"/>
        <v>999999999999</v>
      </c>
      <c r="AN180">
        <f t="shared" si="17"/>
        <v>999999999999</v>
      </c>
      <c r="AO180">
        <f t="shared" si="18"/>
        <v>999999999999</v>
      </c>
      <c r="AP180">
        <f t="shared" si="15"/>
        <v>999999999999</v>
      </c>
      <c r="AQ180">
        <f t="shared" si="14"/>
        <v>999999999999</v>
      </c>
      <c r="AR180">
        <f t="shared" si="19"/>
        <v>0</v>
      </c>
    </row>
    <row r="181" spans="25:44">
      <c r="Y181" t="str">
        <f>IF('06 - FLOW'!A53&lt;&gt;"",IF('06 - FLOW'!F53="","",'06 - FLOW'!F53),"")</f>
        <v/>
      </c>
      <c r="Z181" t="str">
        <f>IF('06 - FLOW'!A53&lt;&gt;"","Flow","")</f>
        <v/>
      </c>
      <c r="AA181" t="str">
        <f>IF('06 - FLOW'!A53&lt;&gt;"",IF('06 - FLOW'!A53="","",'06 - FLOW'!A53),"")</f>
        <v/>
      </c>
      <c r="AB181" t="str">
        <f>IF('06 - FLOW'!A53&lt;&gt;"",IF('06 - FLOW'!B53="","",'06 - FLOW'!B53),"")</f>
        <v/>
      </c>
      <c r="AC181" t="str">
        <f>IF('06 - FLOW'!A53&lt;&gt;"",IF('06 - FLOW'!G53="","",'06 - FLOW'!G53),"")</f>
        <v/>
      </c>
      <c r="AD181" t="str">
        <f>IF('06 - FLOW'!A53&lt;&gt;"",IF('06 - FLOW'!H53="","",'06 - FLOW'!H53),"")</f>
        <v/>
      </c>
      <c r="AE181" t="str">
        <f>IF('06 - FLOW'!A53&lt;&gt;"",IF('06 - FLOW'!D53="","",'06 - FLOW'!D53),"")</f>
        <v/>
      </c>
      <c r="AF181" s="17" t="str">
        <f>IF('06 - FLOW'!A53&lt;&gt;"",IF('06 - FLOW'!E53="","",'06 - FLOW'!E53),"")</f>
        <v/>
      </c>
      <c r="AG181" t="str">
        <f>IF('06 - FLOW'!A53&lt;&gt;"",IF('06 - FLOW'!I53="","",'06 - FLOW'!I53),"")</f>
        <v/>
      </c>
      <c r="AH181" t="str">
        <f>IF('06 - FLOW'!A53&lt;&gt;"",IF('06 - FLOW'!J53="","",'06 - FLOW'!J53),"")</f>
        <v/>
      </c>
      <c r="AI181" t="str">
        <f>IF('06 - FLOW'!A53&lt;&gt;"",IF('06 - FLOW'!C53="","",'06 - FLOW'!C53),"")</f>
        <v/>
      </c>
      <c r="AJ181" t="str">
        <f>IF('06 - FLOW'!A53&lt;&gt;"","06 - FLOW row 53","")</f>
        <v/>
      </c>
      <c r="AK181">
        <f>IF(AND('06 - FLOW'!A53&lt;&gt;"",OR('06 - FLOW'!C53&lt;&gt;"Accepted",'06 - FLOW'!G53&lt;&gt;""),OR(AC181&lt;&gt;"",AD181&lt;&gt;"")),IF(Y181="Critical",1,IF(Y181="Review",2,3))*100000000+IF(ISNUMBER(AF181),AF181,99999)*1000+ROW(),999999999999)</f>
        <v>999999999999</v>
      </c>
      <c r="AL181">
        <f t="shared" si="16"/>
        <v>999999999999</v>
      </c>
      <c r="AM181">
        <f t="shared" si="20"/>
        <v>999999999999</v>
      </c>
      <c r="AN181">
        <f t="shared" si="17"/>
        <v>999999999999</v>
      </c>
      <c r="AO181">
        <f t="shared" si="18"/>
        <v>999999999999</v>
      </c>
      <c r="AP181">
        <f t="shared" si="15"/>
        <v>999999999999</v>
      </c>
      <c r="AQ181">
        <f t="shared" si="14"/>
        <v>999999999999</v>
      </c>
      <c r="AR181">
        <f t="shared" si="19"/>
        <v>0</v>
      </c>
    </row>
    <row r="182" spans="25:44">
      <c r="Y182" t="str">
        <f>IF('06 - FLOW'!A54&lt;&gt;"",IF('06 - FLOW'!F54="","",'06 - FLOW'!F54),"")</f>
        <v/>
      </c>
      <c r="Z182" t="str">
        <f>IF('06 - FLOW'!A54&lt;&gt;"","Flow","")</f>
        <v/>
      </c>
      <c r="AA182" t="str">
        <f>IF('06 - FLOW'!A54&lt;&gt;"",IF('06 - FLOW'!A54="","",'06 - FLOW'!A54),"")</f>
        <v/>
      </c>
      <c r="AB182" t="str">
        <f>IF('06 - FLOW'!A54&lt;&gt;"",IF('06 - FLOW'!B54="","",'06 - FLOW'!B54),"")</f>
        <v/>
      </c>
      <c r="AC182" t="str">
        <f>IF('06 - FLOW'!A54&lt;&gt;"",IF('06 - FLOW'!G54="","",'06 - FLOW'!G54),"")</f>
        <v/>
      </c>
      <c r="AD182" t="str">
        <f>IF('06 - FLOW'!A54&lt;&gt;"",IF('06 - FLOW'!H54="","",'06 - FLOW'!H54),"")</f>
        <v/>
      </c>
      <c r="AE182" t="str">
        <f>IF('06 - FLOW'!A54&lt;&gt;"",IF('06 - FLOW'!D54="","",'06 - FLOW'!D54),"")</f>
        <v/>
      </c>
      <c r="AF182" s="17" t="str">
        <f>IF('06 - FLOW'!A54&lt;&gt;"",IF('06 - FLOW'!E54="","",'06 - FLOW'!E54),"")</f>
        <v/>
      </c>
      <c r="AG182" t="str">
        <f>IF('06 - FLOW'!A54&lt;&gt;"",IF('06 - FLOW'!I54="","",'06 - FLOW'!I54),"")</f>
        <v/>
      </c>
      <c r="AH182" t="str">
        <f>IF('06 - FLOW'!A54&lt;&gt;"",IF('06 - FLOW'!J54="","",'06 - FLOW'!J54),"")</f>
        <v/>
      </c>
      <c r="AI182" t="str">
        <f>IF('06 - FLOW'!A54&lt;&gt;"",IF('06 - FLOW'!C54="","",'06 - FLOW'!C54),"")</f>
        <v/>
      </c>
      <c r="AJ182" t="str">
        <f>IF('06 - FLOW'!A54&lt;&gt;"","06 - FLOW row 54","")</f>
        <v/>
      </c>
      <c r="AK182">
        <f>IF(AND('06 - FLOW'!A54&lt;&gt;"",OR('06 - FLOW'!C54&lt;&gt;"Accepted",'06 - FLOW'!G54&lt;&gt;""),OR(AC182&lt;&gt;"",AD182&lt;&gt;"")),IF(Y182="Critical",1,IF(Y182="Review",2,3))*100000000+IF(ISNUMBER(AF182),AF182,99999)*1000+ROW(),999999999999)</f>
        <v>999999999999</v>
      </c>
      <c r="AL182">
        <f t="shared" si="16"/>
        <v>999999999999</v>
      </c>
      <c r="AM182">
        <f t="shared" si="20"/>
        <v>999999999999</v>
      </c>
      <c r="AN182">
        <f t="shared" si="17"/>
        <v>999999999999</v>
      </c>
      <c r="AO182">
        <f t="shared" si="18"/>
        <v>999999999999</v>
      </c>
      <c r="AP182">
        <f t="shared" si="15"/>
        <v>999999999999</v>
      </c>
      <c r="AQ182">
        <f t="shared" si="14"/>
        <v>999999999999</v>
      </c>
      <c r="AR182">
        <f t="shared" si="19"/>
        <v>0</v>
      </c>
    </row>
    <row r="183" spans="25:44">
      <c r="Y183" t="str">
        <f>IF('06 - FLOW'!A55&lt;&gt;"",IF('06 - FLOW'!F55="","",'06 - FLOW'!F55),"")</f>
        <v/>
      </c>
      <c r="Z183" t="str">
        <f>IF('06 - FLOW'!A55&lt;&gt;"","Flow","")</f>
        <v/>
      </c>
      <c r="AA183" t="str">
        <f>IF('06 - FLOW'!A55&lt;&gt;"",IF('06 - FLOW'!A55="","",'06 - FLOW'!A55),"")</f>
        <v/>
      </c>
      <c r="AB183" t="str">
        <f>IF('06 - FLOW'!A55&lt;&gt;"",IF('06 - FLOW'!B55="","",'06 - FLOW'!B55),"")</f>
        <v/>
      </c>
      <c r="AC183" t="str">
        <f>IF('06 - FLOW'!A55&lt;&gt;"",IF('06 - FLOW'!G55="","",'06 - FLOW'!G55),"")</f>
        <v/>
      </c>
      <c r="AD183" t="str">
        <f>IF('06 - FLOW'!A55&lt;&gt;"",IF('06 - FLOW'!H55="","",'06 - FLOW'!H55),"")</f>
        <v/>
      </c>
      <c r="AE183" t="str">
        <f>IF('06 - FLOW'!A55&lt;&gt;"",IF('06 - FLOW'!D55="","",'06 - FLOW'!D55),"")</f>
        <v/>
      </c>
      <c r="AF183" s="17" t="str">
        <f>IF('06 - FLOW'!A55&lt;&gt;"",IF('06 - FLOW'!E55="","",'06 - FLOW'!E55),"")</f>
        <v/>
      </c>
      <c r="AG183" t="str">
        <f>IF('06 - FLOW'!A55&lt;&gt;"",IF('06 - FLOW'!I55="","",'06 - FLOW'!I55),"")</f>
        <v/>
      </c>
      <c r="AH183" t="str">
        <f>IF('06 - FLOW'!A55&lt;&gt;"",IF('06 - FLOW'!J55="","",'06 - FLOW'!J55),"")</f>
        <v/>
      </c>
      <c r="AI183" t="str">
        <f>IF('06 - FLOW'!A55&lt;&gt;"",IF('06 - FLOW'!C55="","",'06 - FLOW'!C55),"")</f>
        <v/>
      </c>
      <c r="AJ183" t="str">
        <f>IF('06 - FLOW'!A55&lt;&gt;"","06 - FLOW row 55","")</f>
        <v/>
      </c>
      <c r="AK183">
        <f>IF(AND('06 - FLOW'!A55&lt;&gt;"",OR('06 - FLOW'!C55&lt;&gt;"Accepted",'06 - FLOW'!G55&lt;&gt;""),OR(AC183&lt;&gt;"",AD183&lt;&gt;"")),IF(Y183="Critical",1,IF(Y183="Review",2,3))*100000000+IF(ISNUMBER(AF183),AF183,99999)*1000+ROW(),999999999999)</f>
        <v>999999999999</v>
      </c>
      <c r="AL183">
        <f t="shared" si="16"/>
        <v>999999999999</v>
      </c>
      <c r="AM183">
        <f t="shared" si="20"/>
        <v>999999999999</v>
      </c>
      <c r="AN183">
        <f t="shared" si="17"/>
        <v>999999999999</v>
      </c>
      <c r="AO183">
        <f t="shared" si="18"/>
        <v>999999999999</v>
      </c>
      <c r="AP183">
        <f t="shared" si="15"/>
        <v>999999999999</v>
      </c>
      <c r="AQ183">
        <f t="shared" si="14"/>
        <v>999999999999</v>
      </c>
      <c r="AR183">
        <f t="shared" si="19"/>
        <v>0</v>
      </c>
    </row>
    <row r="184" spans="25:44">
      <c r="Y184" t="str">
        <f>IF('06 - FLOW'!A56&lt;&gt;"",IF('06 - FLOW'!F56="","",'06 - FLOW'!F56),"")</f>
        <v/>
      </c>
      <c r="Z184" t="str">
        <f>IF('06 - FLOW'!A56&lt;&gt;"","Flow","")</f>
        <v/>
      </c>
      <c r="AA184" t="str">
        <f>IF('06 - FLOW'!A56&lt;&gt;"",IF('06 - FLOW'!A56="","",'06 - FLOW'!A56),"")</f>
        <v/>
      </c>
      <c r="AB184" t="str">
        <f>IF('06 - FLOW'!A56&lt;&gt;"",IF('06 - FLOW'!B56="","",'06 - FLOW'!B56),"")</f>
        <v/>
      </c>
      <c r="AC184" t="str">
        <f>IF('06 - FLOW'!A56&lt;&gt;"",IF('06 - FLOW'!G56="","",'06 - FLOW'!G56),"")</f>
        <v/>
      </c>
      <c r="AD184" t="str">
        <f>IF('06 - FLOW'!A56&lt;&gt;"",IF('06 - FLOW'!H56="","",'06 - FLOW'!H56),"")</f>
        <v/>
      </c>
      <c r="AE184" t="str">
        <f>IF('06 - FLOW'!A56&lt;&gt;"",IF('06 - FLOW'!D56="","",'06 - FLOW'!D56),"")</f>
        <v/>
      </c>
      <c r="AF184" s="17" t="str">
        <f>IF('06 - FLOW'!A56&lt;&gt;"",IF('06 - FLOW'!E56="","",'06 - FLOW'!E56),"")</f>
        <v/>
      </c>
      <c r="AG184" t="str">
        <f>IF('06 - FLOW'!A56&lt;&gt;"",IF('06 - FLOW'!I56="","",'06 - FLOW'!I56),"")</f>
        <v/>
      </c>
      <c r="AH184" t="str">
        <f>IF('06 - FLOW'!A56&lt;&gt;"",IF('06 - FLOW'!J56="","",'06 - FLOW'!J56),"")</f>
        <v/>
      </c>
      <c r="AI184" t="str">
        <f>IF('06 - FLOW'!A56&lt;&gt;"",IF('06 - FLOW'!C56="","",'06 - FLOW'!C56),"")</f>
        <v/>
      </c>
      <c r="AJ184" t="str">
        <f>IF('06 - FLOW'!A56&lt;&gt;"","06 - FLOW row 56","")</f>
        <v/>
      </c>
      <c r="AK184">
        <f>IF(AND('06 - FLOW'!A56&lt;&gt;"",OR('06 - FLOW'!C56&lt;&gt;"Accepted",'06 - FLOW'!G56&lt;&gt;""),OR(AC184&lt;&gt;"",AD184&lt;&gt;"")),IF(Y184="Critical",1,IF(Y184="Review",2,3))*100000000+IF(ISNUMBER(AF184),AF184,99999)*1000+ROW(),999999999999)</f>
        <v>999999999999</v>
      </c>
      <c r="AL184">
        <f t="shared" si="16"/>
        <v>999999999999</v>
      </c>
      <c r="AM184">
        <f t="shared" si="20"/>
        <v>999999999999</v>
      </c>
      <c r="AN184">
        <f t="shared" si="17"/>
        <v>999999999999</v>
      </c>
      <c r="AO184">
        <f t="shared" si="18"/>
        <v>999999999999</v>
      </c>
      <c r="AP184">
        <f t="shared" si="15"/>
        <v>999999999999</v>
      </c>
      <c r="AQ184">
        <f t="shared" si="14"/>
        <v>999999999999</v>
      </c>
      <c r="AR184">
        <f t="shared" si="19"/>
        <v>0</v>
      </c>
    </row>
    <row r="185" spans="25:44">
      <c r="Y185" t="str">
        <f>IF('06 - FLOW'!A57&lt;&gt;"",IF('06 - FLOW'!F57="","",'06 - FLOW'!F57),"")</f>
        <v/>
      </c>
      <c r="Z185" t="str">
        <f>IF('06 - FLOW'!A57&lt;&gt;"","Flow","")</f>
        <v/>
      </c>
      <c r="AA185" t="str">
        <f>IF('06 - FLOW'!A57&lt;&gt;"",IF('06 - FLOW'!A57="","",'06 - FLOW'!A57),"")</f>
        <v/>
      </c>
      <c r="AB185" t="str">
        <f>IF('06 - FLOW'!A57&lt;&gt;"",IF('06 - FLOW'!B57="","",'06 - FLOW'!B57),"")</f>
        <v/>
      </c>
      <c r="AC185" t="str">
        <f>IF('06 - FLOW'!A57&lt;&gt;"",IF('06 - FLOW'!G57="","",'06 - FLOW'!G57),"")</f>
        <v/>
      </c>
      <c r="AD185" t="str">
        <f>IF('06 - FLOW'!A57&lt;&gt;"",IF('06 - FLOW'!H57="","",'06 - FLOW'!H57),"")</f>
        <v/>
      </c>
      <c r="AE185" t="str">
        <f>IF('06 - FLOW'!A57&lt;&gt;"",IF('06 - FLOW'!D57="","",'06 - FLOW'!D57),"")</f>
        <v/>
      </c>
      <c r="AF185" s="17" t="str">
        <f>IF('06 - FLOW'!A57&lt;&gt;"",IF('06 - FLOW'!E57="","",'06 - FLOW'!E57),"")</f>
        <v/>
      </c>
      <c r="AG185" t="str">
        <f>IF('06 - FLOW'!A57&lt;&gt;"",IF('06 - FLOW'!I57="","",'06 - FLOW'!I57),"")</f>
        <v/>
      </c>
      <c r="AH185" t="str">
        <f>IF('06 - FLOW'!A57&lt;&gt;"",IF('06 - FLOW'!J57="","",'06 - FLOW'!J57),"")</f>
        <v/>
      </c>
      <c r="AI185" t="str">
        <f>IF('06 - FLOW'!A57&lt;&gt;"",IF('06 - FLOW'!C57="","",'06 - FLOW'!C57),"")</f>
        <v/>
      </c>
      <c r="AJ185" t="str">
        <f>IF('06 - FLOW'!A57&lt;&gt;"","06 - FLOW row 57","")</f>
        <v/>
      </c>
      <c r="AK185">
        <f>IF(AND('06 - FLOW'!A57&lt;&gt;"",OR('06 - FLOW'!C57&lt;&gt;"Accepted",'06 - FLOW'!G57&lt;&gt;""),OR(AC185&lt;&gt;"",AD185&lt;&gt;"")),IF(Y185="Critical",1,IF(Y185="Review",2,3))*100000000+IF(ISNUMBER(AF185),AF185,99999)*1000+ROW(),999999999999)</f>
        <v>999999999999</v>
      </c>
      <c r="AL185">
        <f t="shared" si="16"/>
        <v>999999999999</v>
      </c>
      <c r="AM185">
        <f t="shared" si="20"/>
        <v>999999999999</v>
      </c>
      <c r="AN185">
        <f t="shared" si="17"/>
        <v>999999999999</v>
      </c>
      <c r="AO185">
        <f t="shared" si="18"/>
        <v>999999999999</v>
      </c>
      <c r="AP185">
        <f t="shared" si="15"/>
        <v>999999999999</v>
      </c>
      <c r="AQ185">
        <f t="shared" si="14"/>
        <v>999999999999</v>
      </c>
      <c r="AR185">
        <f t="shared" si="19"/>
        <v>0</v>
      </c>
    </row>
    <row r="186" spans="25:44">
      <c r="Y186" t="str">
        <f>IF('06 - FLOW'!A58&lt;&gt;"",IF('06 - FLOW'!F58="","",'06 - FLOW'!F58),"")</f>
        <v/>
      </c>
      <c r="Z186" t="str">
        <f>IF('06 - FLOW'!A58&lt;&gt;"","Flow","")</f>
        <v/>
      </c>
      <c r="AA186" t="str">
        <f>IF('06 - FLOW'!A58&lt;&gt;"",IF('06 - FLOW'!A58="","",'06 - FLOW'!A58),"")</f>
        <v/>
      </c>
      <c r="AB186" t="str">
        <f>IF('06 - FLOW'!A58&lt;&gt;"",IF('06 - FLOW'!B58="","",'06 - FLOW'!B58),"")</f>
        <v/>
      </c>
      <c r="AC186" t="str">
        <f>IF('06 - FLOW'!A58&lt;&gt;"",IF('06 - FLOW'!G58="","",'06 - FLOW'!G58),"")</f>
        <v/>
      </c>
      <c r="AD186" t="str">
        <f>IF('06 - FLOW'!A58&lt;&gt;"",IF('06 - FLOW'!H58="","",'06 - FLOW'!H58),"")</f>
        <v/>
      </c>
      <c r="AE186" t="str">
        <f>IF('06 - FLOW'!A58&lt;&gt;"",IF('06 - FLOW'!D58="","",'06 - FLOW'!D58),"")</f>
        <v/>
      </c>
      <c r="AF186" s="17" t="str">
        <f>IF('06 - FLOW'!A58&lt;&gt;"",IF('06 - FLOW'!E58="","",'06 - FLOW'!E58),"")</f>
        <v/>
      </c>
      <c r="AG186" t="str">
        <f>IF('06 - FLOW'!A58&lt;&gt;"",IF('06 - FLOW'!I58="","",'06 - FLOW'!I58),"")</f>
        <v/>
      </c>
      <c r="AH186" t="str">
        <f>IF('06 - FLOW'!A58&lt;&gt;"",IF('06 - FLOW'!J58="","",'06 - FLOW'!J58),"")</f>
        <v/>
      </c>
      <c r="AI186" t="str">
        <f>IF('06 - FLOW'!A58&lt;&gt;"",IF('06 - FLOW'!C58="","",'06 - FLOW'!C58),"")</f>
        <v/>
      </c>
      <c r="AJ186" t="str">
        <f>IF('06 - FLOW'!A58&lt;&gt;"","06 - FLOW row 58","")</f>
        <v/>
      </c>
      <c r="AK186">
        <f>IF(AND('06 - FLOW'!A58&lt;&gt;"",OR('06 - FLOW'!C58&lt;&gt;"Accepted",'06 - FLOW'!G58&lt;&gt;""),OR(AC186&lt;&gt;"",AD186&lt;&gt;"")),IF(Y186="Critical",1,IF(Y186="Review",2,3))*100000000+IF(ISNUMBER(AF186),AF186,99999)*1000+ROW(),999999999999)</f>
        <v>999999999999</v>
      </c>
      <c r="AL186">
        <f t="shared" si="16"/>
        <v>999999999999</v>
      </c>
      <c r="AM186">
        <f t="shared" si="20"/>
        <v>999999999999</v>
      </c>
      <c r="AN186">
        <f t="shared" si="17"/>
        <v>999999999999</v>
      </c>
      <c r="AO186">
        <f t="shared" si="18"/>
        <v>999999999999</v>
      </c>
      <c r="AP186">
        <f t="shared" si="15"/>
        <v>999999999999</v>
      </c>
      <c r="AQ186">
        <f t="shared" si="14"/>
        <v>999999999999</v>
      </c>
      <c r="AR186">
        <f t="shared" si="19"/>
        <v>0</v>
      </c>
    </row>
    <row r="187" spans="25:44">
      <c r="Y187" t="str">
        <f>IF('07 - EVIDENCE &amp; ASSURANCE'!A9&lt;&gt;"",IF('07 - EVIDENCE &amp; ASSURANCE'!F9="","",'07 - EVIDENCE &amp; ASSURANCE'!F9),"")</f>
        <v>Critical</v>
      </c>
      <c r="Z187" t="str">
        <f>IF('07 - EVIDENCE &amp; ASSURANCE'!A9&lt;&gt;"","Assurance","")</f>
        <v>Assurance</v>
      </c>
      <c r="AA187" t="str">
        <f>IF('07 - EVIDENCE &amp; ASSURANCE'!A9&lt;&gt;"",IF('07 - EVIDENCE &amp; ASSURANCE'!A9="","",'07 - EVIDENCE &amp; ASSURANCE'!A9),"")</f>
        <v>CAP-01</v>
      </c>
      <c r="AB187" t="str">
        <f>IF('07 - EVIDENCE &amp; ASSURANCE'!A9&lt;&gt;"",IF('07 - EVIDENCE &amp; ASSURANCE'!B9="","",'07 - EVIDENCE &amp; ASSURANCE'!B9),"")</f>
        <v>Atlas pilot recovery / release candidate 3</v>
      </c>
      <c r="AC187" t="str">
        <f>IF('07 - EVIDENCE &amp; ASSURANCE'!A9&lt;&gt;"",IF('07 - EVIDENCE &amp; ASSURANCE'!G9="","",'07 - EVIDENCE &amp; ASSURANCE'!G9),"")</f>
        <v xml:space="preserve">REPRESENTATIVE CAPABILITY NOT VERIFIED </v>
      </c>
      <c r="AD187" t="str">
        <f>IF('07 - EVIDENCE &amp; ASSURANCE'!A9&lt;&gt;"",IF('07 - EVIDENCE &amp; ASSURANCE'!H9="","",'07 - EVIDENCE &amp; ASSURANCE'!H9),"")</f>
        <v>Commission targeted evidence before the commitment date.</v>
      </c>
      <c r="AE187" t="str">
        <f>IF('07 - EVIDENCE &amp; ASSURANCE'!A9&lt;&gt;"",IF('07 - EVIDENCE &amp; ASSURANCE'!D9="","",'07 - EVIDENCE &amp; ASSURANCE'!D9),"")</f>
        <v>Assurance lead</v>
      </c>
      <c r="AF187" s="17">
        <f>IF('07 - EVIDENCE &amp; ASSURANCE'!A9&lt;&gt;"",IF('07 - EVIDENCE &amp; ASSURANCE'!E9="","",'07 - EVIDENCE &amp; ASSURANCE'!E9),"")</f>
        <v>46294</v>
      </c>
      <c r="AG187" t="str">
        <f>IF('07 - EVIDENCE &amp; ASSURANCE'!A9&lt;&gt;"",IF('07 - EVIDENCE &amp; ASSURANCE'!I9="","",'07 - EVIDENCE &amp; ASSURANCE'!I9),"")</f>
        <v>Release recovery claim unsupported at production scale</v>
      </c>
      <c r="AH187" t="str">
        <f>IF('07 - EVIDENCE &amp; ASSURANCE'!A9&lt;&gt;"",IF('07 - EVIDENCE &amp; ASSURANCE'!J9="","",'07 - EVIDENCE &amp; ASSURANCE'!J9),"")</f>
        <v>Production-path rehearsal with receiving operator</v>
      </c>
      <c r="AI187" t="str">
        <f>IF('07 - EVIDENCE &amp; ASSURANCE'!A9&lt;&gt;"",IF('07 - EVIDENCE &amp; ASSURANCE'!C9="","",'07 - EVIDENCE &amp; ASSURANCE'!C9),"")</f>
        <v>In progress</v>
      </c>
      <c r="AJ187" t="str">
        <f>IF('07 - EVIDENCE &amp; ASSURANCE'!A9&lt;&gt;"","07 - EVIDENCE &amp; ASSURANCE row 9","")</f>
        <v>07 - EVIDENCE &amp; ASSURANCE row 9</v>
      </c>
      <c r="AK187">
        <f>IF(AND('07 - EVIDENCE &amp; ASSURANCE'!A9&lt;&gt;"",OR('07 - EVIDENCE &amp; ASSURANCE'!C9&lt;&gt;"Closed",'07 - EVIDENCE &amp; ASSURANCE'!G9&lt;&gt;""),OR(AC187&lt;&gt;"",AD187&lt;&gt;"")),IF(Y187="Critical",1,IF(Y187="Review",2,3))*100000000+IF(ISNUMBER(AF187),AF187,99999)*1000+ROW(),999999999999)</f>
        <v>146294187</v>
      </c>
      <c r="AL187">
        <f t="shared" si="16"/>
        <v>146294187</v>
      </c>
      <c r="AM187">
        <f t="shared" si="20"/>
        <v>146294187</v>
      </c>
      <c r="AN187">
        <f t="shared" si="17"/>
        <v>999999999999</v>
      </c>
      <c r="AO187">
        <f t="shared" si="18"/>
        <v>46294187</v>
      </c>
      <c r="AP187">
        <f t="shared" si="15"/>
        <v>999999999999</v>
      </c>
      <c r="AQ187">
        <f t="shared" si="14"/>
        <v>999999999999</v>
      </c>
      <c r="AR187">
        <f t="shared" si="19"/>
        <v>1</v>
      </c>
    </row>
    <row r="188" spans="25:44">
      <c r="Y188" t="str">
        <f>IF('07 - EVIDENCE &amp; ASSURANCE'!A10&lt;&gt;"",IF('07 - EVIDENCE &amp; ASSURANCE'!F10="","",'07 - EVIDENCE &amp; ASSURANCE'!F10),"")</f>
        <v/>
      </c>
      <c r="Z188" t="str">
        <f>IF('07 - EVIDENCE &amp; ASSURANCE'!A10&lt;&gt;"","Assurance","")</f>
        <v/>
      </c>
      <c r="AA188" t="str">
        <f>IF('07 - EVIDENCE &amp; ASSURANCE'!A10&lt;&gt;"",IF('07 - EVIDENCE &amp; ASSURANCE'!A10="","",'07 - EVIDENCE &amp; ASSURANCE'!A10),"")</f>
        <v/>
      </c>
      <c r="AB188" t="str">
        <f>IF('07 - EVIDENCE &amp; ASSURANCE'!A10&lt;&gt;"",IF('07 - EVIDENCE &amp; ASSURANCE'!B10="","",'07 - EVIDENCE &amp; ASSURANCE'!B10),"")</f>
        <v/>
      </c>
      <c r="AC188" t="str">
        <f>IF('07 - EVIDENCE &amp; ASSURANCE'!A10&lt;&gt;"",IF('07 - EVIDENCE &amp; ASSURANCE'!G10="","",'07 - EVIDENCE &amp; ASSURANCE'!G10),"")</f>
        <v/>
      </c>
      <c r="AD188" t="str">
        <f>IF('07 - EVIDENCE &amp; ASSURANCE'!A10&lt;&gt;"",IF('07 - EVIDENCE &amp; ASSURANCE'!H10="","",'07 - EVIDENCE &amp; ASSURANCE'!H10),"")</f>
        <v/>
      </c>
      <c r="AE188" t="str">
        <f>IF('07 - EVIDENCE &amp; ASSURANCE'!A10&lt;&gt;"",IF('07 - EVIDENCE &amp; ASSURANCE'!D10="","",'07 - EVIDENCE &amp; ASSURANCE'!D10),"")</f>
        <v/>
      </c>
      <c r="AF188" s="17" t="str">
        <f>IF('07 - EVIDENCE &amp; ASSURANCE'!A10&lt;&gt;"",IF('07 - EVIDENCE &amp; ASSURANCE'!E10="","",'07 - EVIDENCE &amp; ASSURANCE'!E10),"")</f>
        <v/>
      </c>
      <c r="AG188" t="str">
        <f>IF('07 - EVIDENCE &amp; ASSURANCE'!A10&lt;&gt;"",IF('07 - EVIDENCE &amp; ASSURANCE'!I10="","",'07 - EVIDENCE &amp; ASSURANCE'!I10),"")</f>
        <v/>
      </c>
      <c r="AH188" t="str">
        <f>IF('07 - EVIDENCE &amp; ASSURANCE'!A10&lt;&gt;"",IF('07 - EVIDENCE &amp; ASSURANCE'!J10="","",'07 - EVIDENCE &amp; ASSURANCE'!J10),"")</f>
        <v/>
      </c>
      <c r="AI188" t="str">
        <f>IF('07 - EVIDENCE &amp; ASSURANCE'!A10&lt;&gt;"",IF('07 - EVIDENCE &amp; ASSURANCE'!C10="","",'07 - EVIDENCE &amp; ASSURANCE'!C10),"")</f>
        <v/>
      </c>
      <c r="AJ188" t="str">
        <f>IF('07 - EVIDENCE &amp; ASSURANCE'!A10&lt;&gt;"","07 - EVIDENCE &amp; ASSURANCE row 10","")</f>
        <v/>
      </c>
      <c r="AK188">
        <f>IF(AND('07 - EVIDENCE &amp; ASSURANCE'!A10&lt;&gt;"",OR('07 - EVIDENCE &amp; ASSURANCE'!C10&lt;&gt;"Closed",'07 - EVIDENCE &amp; ASSURANCE'!G10&lt;&gt;""),OR(AC188&lt;&gt;"",AD188&lt;&gt;"")),IF(Y188="Critical",1,IF(Y188="Review",2,3))*100000000+IF(ISNUMBER(AF188),AF188,99999)*1000+ROW(),999999999999)</f>
        <v>999999999999</v>
      </c>
      <c r="AL188">
        <f t="shared" si="16"/>
        <v>999999999999</v>
      </c>
      <c r="AM188">
        <f t="shared" si="20"/>
        <v>999999999999</v>
      </c>
      <c r="AN188">
        <f t="shared" si="17"/>
        <v>999999999999</v>
      </c>
      <c r="AO188">
        <f t="shared" si="18"/>
        <v>999999999999</v>
      </c>
      <c r="AP188">
        <f t="shared" si="15"/>
        <v>999999999999</v>
      </c>
      <c r="AQ188">
        <f t="shared" si="14"/>
        <v>999999999999</v>
      </c>
      <c r="AR188">
        <f t="shared" si="19"/>
        <v>0</v>
      </c>
    </row>
    <row r="189" spans="25:44">
      <c r="Y189" t="str">
        <f>IF('07 - EVIDENCE &amp; ASSURANCE'!A11&lt;&gt;"",IF('07 - EVIDENCE &amp; ASSURANCE'!F11="","",'07 - EVIDENCE &amp; ASSURANCE'!F11),"")</f>
        <v/>
      </c>
      <c r="Z189" t="str">
        <f>IF('07 - EVIDENCE &amp; ASSURANCE'!A11&lt;&gt;"","Assurance","")</f>
        <v/>
      </c>
      <c r="AA189" t="str">
        <f>IF('07 - EVIDENCE &amp; ASSURANCE'!A11&lt;&gt;"",IF('07 - EVIDENCE &amp; ASSURANCE'!A11="","",'07 - EVIDENCE &amp; ASSURANCE'!A11),"")</f>
        <v/>
      </c>
      <c r="AB189" t="str">
        <f>IF('07 - EVIDENCE &amp; ASSURANCE'!A11&lt;&gt;"",IF('07 - EVIDENCE &amp; ASSURANCE'!B11="","",'07 - EVIDENCE &amp; ASSURANCE'!B11),"")</f>
        <v/>
      </c>
      <c r="AC189" t="str">
        <f>IF('07 - EVIDENCE &amp; ASSURANCE'!A11&lt;&gt;"",IF('07 - EVIDENCE &amp; ASSURANCE'!G11="","",'07 - EVIDENCE &amp; ASSURANCE'!G11),"")</f>
        <v/>
      </c>
      <c r="AD189" t="str">
        <f>IF('07 - EVIDENCE &amp; ASSURANCE'!A11&lt;&gt;"",IF('07 - EVIDENCE &amp; ASSURANCE'!H11="","",'07 - EVIDENCE &amp; ASSURANCE'!H11),"")</f>
        <v/>
      </c>
      <c r="AE189" t="str">
        <f>IF('07 - EVIDENCE &amp; ASSURANCE'!A11&lt;&gt;"",IF('07 - EVIDENCE &amp; ASSURANCE'!D11="","",'07 - EVIDENCE &amp; ASSURANCE'!D11),"")</f>
        <v/>
      </c>
      <c r="AF189" s="17" t="str">
        <f>IF('07 - EVIDENCE &amp; ASSURANCE'!A11&lt;&gt;"",IF('07 - EVIDENCE &amp; ASSURANCE'!E11="","",'07 - EVIDENCE &amp; ASSURANCE'!E11),"")</f>
        <v/>
      </c>
      <c r="AG189" t="str">
        <f>IF('07 - EVIDENCE &amp; ASSURANCE'!A11&lt;&gt;"",IF('07 - EVIDENCE &amp; ASSURANCE'!I11="","",'07 - EVIDENCE &amp; ASSURANCE'!I11),"")</f>
        <v/>
      </c>
      <c r="AH189" t="str">
        <f>IF('07 - EVIDENCE &amp; ASSURANCE'!A11&lt;&gt;"",IF('07 - EVIDENCE &amp; ASSURANCE'!J11="","",'07 - EVIDENCE &amp; ASSURANCE'!J11),"")</f>
        <v/>
      </c>
      <c r="AI189" t="str">
        <f>IF('07 - EVIDENCE &amp; ASSURANCE'!A11&lt;&gt;"",IF('07 - EVIDENCE &amp; ASSURANCE'!C11="","",'07 - EVIDENCE &amp; ASSURANCE'!C11),"")</f>
        <v/>
      </c>
      <c r="AJ189" t="str">
        <f>IF('07 - EVIDENCE &amp; ASSURANCE'!A11&lt;&gt;"","07 - EVIDENCE &amp; ASSURANCE row 11","")</f>
        <v/>
      </c>
      <c r="AK189">
        <f>IF(AND('07 - EVIDENCE &amp; ASSURANCE'!A11&lt;&gt;"",OR('07 - EVIDENCE &amp; ASSURANCE'!C11&lt;&gt;"Closed",'07 - EVIDENCE &amp; ASSURANCE'!G11&lt;&gt;""),OR(AC189&lt;&gt;"",AD189&lt;&gt;"")),IF(Y189="Critical",1,IF(Y189="Review",2,3))*100000000+IF(ISNUMBER(AF189),AF189,99999)*1000+ROW(),999999999999)</f>
        <v>999999999999</v>
      </c>
      <c r="AL189">
        <f t="shared" si="16"/>
        <v>999999999999</v>
      </c>
      <c r="AM189">
        <f t="shared" si="20"/>
        <v>999999999999</v>
      </c>
      <c r="AN189">
        <f t="shared" si="17"/>
        <v>999999999999</v>
      </c>
      <c r="AO189">
        <f t="shared" si="18"/>
        <v>999999999999</v>
      </c>
      <c r="AP189">
        <f t="shared" si="15"/>
        <v>999999999999</v>
      </c>
      <c r="AQ189">
        <f t="shared" si="14"/>
        <v>999999999999</v>
      </c>
      <c r="AR189">
        <f t="shared" si="19"/>
        <v>0</v>
      </c>
    </row>
    <row r="190" spans="25:44">
      <c r="Y190" t="str">
        <f>IF('07 - EVIDENCE &amp; ASSURANCE'!A12&lt;&gt;"",IF('07 - EVIDENCE &amp; ASSURANCE'!F12="","",'07 - EVIDENCE &amp; ASSURANCE'!F12),"")</f>
        <v/>
      </c>
      <c r="Z190" t="str">
        <f>IF('07 - EVIDENCE &amp; ASSURANCE'!A12&lt;&gt;"","Assurance","")</f>
        <v/>
      </c>
      <c r="AA190" t="str">
        <f>IF('07 - EVIDENCE &amp; ASSURANCE'!A12&lt;&gt;"",IF('07 - EVIDENCE &amp; ASSURANCE'!A12="","",'07 - EVIDENCE &amp; ASSURANCE'!A12),"")</f>
        <v/>
      </c>
      <c r="AB190" t="str">
        <f>IF('07 - EVIDENCE &amp; ASSURANCE'!A12&lt;&gt;"",IF('07 - EVIDENCE &amp; ASSURANCE'!B12="","",'07 - EVIDENCE &amp; ASSURANCE'!B12),"")</f>
        <v/>
      </c>
      <c r="AC190" t="str">
        <f>IF('07 - EVIDENCE &amp; ASSURANCE'!A12&lt;&gt;"",IF('07 - EVIDENCE &amp; ASSURANCE'!G12="","",'07 - EVIDENCE &amp; ASSURANCE'!G12),"")</f>
        <v/>
      </c>
      <c r="AD190" t="str">
        <f>IF('07 - EVIDENCE &amp; ASSURANCE'!A12&lt;&gt;"",IF('07 - EVIDENCE &amp; ASSURANCE'!H12="","",'07 - EVIDENCE &amp; ASSURANCE'!H12),"")</f>
        <v/>
      </c>
      <c r="AE190" t="str">
        <f>IF('07 - EVIDENCE &amp; ASSURANCE'!A12&lt;&gt;"",IF('07 - EVIDENCE &amp; ASSURANCE'!D12="","",'07 - EVIDENCE &amp; ASSURANCE'!D12),"")</f>
        <v/>
      </c>
      <c r="AF190" s="17" t="str">
        <f>IF('07 - EVIDENCE &amp; ASSURANCE'!A12&lt;&gt;"",IF('07 - EVIDENCE &amp; ASSURANCE'!E12="","",'07 - EVIDENCE &amp; ASSURANCE'!E12),"")</f>
        <v/>
      </c>
      <c r="AG190" t="str">
        <f>IF('07 - EVIDENCE &amp; ASSURANCE'!A12&lt;&gt;"",IF('07 - EVIDENCE &amp; ASSURANCE'!I12="","",'07 - EVIDENCE &amp; ASSURANCE'!I12),"")</f>
        <v/>
      </c>
      <c r="AH190" t="str">
        <f>IF('07 - EVIDENCE &amp; ASSURANCE'!A12&lt;&gt;"",IF('07 - EVIDENCE &amp; ASSURANCE'!J12="","",'07 - EVIDENCE &amp; ASSURANCE'!J12),"")</f>
        <v/>
      </c>
      <c r="AI190" t="str">
        <f>IF('07 - EVIDENCE &amp; ASSURANCE'!A12&lt;&gt;"",IF('07 - EVIDENCE &amp; ASSURANCE'!C12="","",'07 - EVIDENCE &amp; ASSURANCE'!C12),"")</f>
        <v/>
      </c>
      <c r="AJ190" t="str">
        <f>IF('07 - EVIDENCE &amp; ASSURANCE'!A12&lt;&gt;"","07 - EVIDENCE &amp; ASSURANCE row 12","")</f>
        <v/>
      </c>
      <c r="AK190">
        <f>IF(AND('07 - EVIDENCE &amp; ASSURANCE'!A12&lt;&gt;"",OR('07 - EVIDENCE &amp; ASSURANCE'!C12&lt;&gt;"Closed",'07 - EVIDENCE &amp; ASSURANCE'!G12&lt;&gt;""),OR(AC190&lt;&gt;"",AD190&lt;&gt;"")),IF(Y190="Critical",1,IF(Y190="Review",2,3))*100000000+IF(ISNUMBER(AF190),AF190,99999)*1000+ROW(),999999999999)</f>
        <v>999999999999</v>
      </c>
      <c r="AL190">
        <f t="shared" si="16"/>
        <v>999999999999</v>
      </c>
      <c r="AM190">
        <f t="shared" si="20"/>
        <v>999999999999</v>
      </c>
      <c r="AN190">
        <f t="shared" si="17"/>
        <v>999999999999</v>
      </c>
      <c r="AO190">
        <f t="shared" si="18"/>
        <v>999999999999</v>
      </c>
      <c r="AP190">
        <f t="shared" si="15"/>
        <v>999999999999</v>
      </c>
      <c r="AQ190">
        <f t="shared" si="14"/>
        <v>999999999999</v>
      </c>
      <c r="AR190">
        <f t="shared" si="19"/>
        <v>0</v>
      </c>
    </row>
    <row r="191" spans="25:44">
      <c r="Y191" t="str">
        <f>IF('07 - EVIDENCE &amp; ASSURANCE'!A13&lt;&gt;"",IF('07 - EVIDENCE &amp; ASSURANCE'!F13="","",'07 - EVIDENCE &amp; ASSURANCE'!F13),"")</f>
        <v/>
      </c>
      <c r="Z191" t="str">
        <f>IF('07 - EVIDENCE &amp; ASSURANCE'!A13&lt;&gt;"","Assurance","")</f>
        <v/>
      </c>
      <c r="AA191" t="str">
        <f>IF('07 - EVIDENCE &amp; ASSURANCE'!A13&lt;&gt;"",IF('07 - EVIDENCE &amp; ASSURANCE'!A13="","",'07 - EVIDENCE &amp; ASSURANCE'!A13),"")</f>
        <v/>
      </c>
      <c r="AB191" t="str">
        <f>IF('07 - EVIDENCE &amp; ASSURANCE'!A13&lt;&gt;"",IF('07 - EVIDENCE &amp; ASSURANCE'!B13="","",'07 - EVIDENCE &amp; ASSURANCE'!B13),"")</f>
        <v/>
      </c>
      <c r="AC191" t="str">
        <f>IF('07 - EVIDENCE &amp; ASSURANCE'!A13&lt;&gt;"",IF('07 - EVIDENCE &amp; ASSURANCE'!G13="","",'07 - EVIDENCE &amp; ASSURANCE'!G13),"")</f>
        <v/>
      </c>
      <c r="AD191" t="str">
        <f>IF('07 - EVIDENCE &amp; ASSURANCE'!A13&lt;&gt;"",IF('07 - EVIDENCE &amp; ASSURANCE'!H13="","",'07 - EVIDENCE &amp; ASSURANCE'!H13),"")</f>
        <v/>
      </c>
      <c r="AE191" t="str">
        <f>IF('07 - EVIDENCE &amp; ASSURANCE'!A13&lt;&gt;"",IF('07 - EVIDENCE &amp; ASSURANCE'!D13="","",'07 - EVIDENCE &amp; ASSURANCE'!D13),"")</f>
        <v/>
      </c>
      <c r="AF191" s="17" t="str">
        <f>IF('07 - EVIDENCE &amp; ASSURANCE'!A13&lt;&gt;"",IF('07 - EVIDENCE &amp; ASSURANCE'!E13="","",'07 - EVIDENCE &amp; ASSURANCE'!E13),"")</f>
        <v/>
      </c>
      <c r="AG191" t="str">
        <f>IF('07 - EVIDENCE &amp; ASSURANCE'!A13&lt;&gt;"",IF('07 - EVIDENCE &amp; ASSURANCE'!I13="","",'07 - EVIDENCE &amp; ASSURANCE'!I13),"")</f>
        <v/>
      </c>
      <c r="AH191" t="str">
        <f>IF('07 - EVIDENCE &amp; ASSURANCE'!A13&lt;&gt;"",IF('07 - EVIDENCE &amp; ASSURANCE'!J13="","",'07 - EVIDENCE &amp; ASSURANCE'!J13),"")</f>
        <v/>
      </c>
      <c r="AI191" t="str">
        <f>IF('07 - EVIDENCE &amp; ASSURANCE'!A13&lt;&gt;"",IF('07 - EVIDENCE &amp; ASSURANCE'!C13="","",'07 - EVIDENCE &amp; ASSURANCE'!C13),"")</f>
        <v/>
      </c>
      <c r="AJ191" t="str">
        <f>IF('07 - EVIDENCE &amp; ASSURANCE'!A13&lt;&gt;"","07 - EVIDENCE &amp; ASSURANCE row 13","")</f>
        <v/>
      </c>
      <c r="AK191">
        <f>IF(AND('07 - EVIDENCE &amp; ASSURANCE'!A13&lt;&gt;"",OR('07 - EVIDENCE &amp; ASSURANCE'!C13&lt;&gt;"Closed",'07 - EVIDENCE &amp; ASSURANCE'!G13&lt;&gt;""),OR(AC191&lt;&gt;"",AD191&lt;&gt;"")),IF(Y191="Critical",1,IF(Y191="Review",2,3))*100000000+IF(ISNUMBER(AF191),AF191,99999)*1000+ROW(),999999999999)</f>
        <v>999999999999</v>
      </c>
      <c r="AL191">
        <f t="shared" si="16"/>
        <v>999999999999</v>
      </c>
      <c r="AM191">
        <f t="shared" si="20"/>
        <v>999999999999</v>
      </c>
      <c r="AN191">
        <f t="shared" si="17"/>
        <v>999999999999</v>
      </c>
      <c r="AO191">
        <f t="shared" si="18"/>
        <v>999999999999</v>
      </c>
      <c r="AP191">
        <f t="shared" si="15"/>
        <v>999999999999</v>
      </c>
      <c r="AQ191">
        <f t="shared" si="14"/>
        <v>999999999999</v>
      </c>
      <c r="AR191">
        <f t="shared" si="19"/>
        <v>0</v>
      </c>
    </row>
    <row r="192" spans="25:44">
      <c r="Y192" t="str">
        <f>IF('07 - EVIDENCE &amp; ASSURANCE'!A14&lt;&gt;"",IF('07 - EVIDENCE &amp; ASSURANCE'!F14="","",'07 - EVIDENCE &amp; ASSURANCE'!F14),"")</f>
        <v/>
      </c>
      <c r="Z192" t="str">
        <f>IF('07 - EVIDENCE &amp; ASSURANCE'!A14&lt;&gt;"","Assurance","")</f>
        <v/>
      </c>
      <c r="AA192" t="str">
        <f>IF('07 - EVIDENCE &amp; ASSURANCE'!A14&lt;&gt;"",IF('07 - EVIDENCE &amp; ASSURANCE'!A14="","",'07 - EVIDENCE &amp; ASSURANCE'!A14),"")</f>
        <v/>
      </c>
      <c r="AB192" t="str">
        <f>IF('07 - EVIDENCE &amp; ASSURANCE'!A14&lt;&gt;"",IF('07 - EVIDENCE &amp; ASSURANCE'!B14="","",'07 - EVIDENCE &amp; ASSURANCE'!B14),"")</f>
        <v/>
      </c>
      <c r="AC192" t="str">
        <f>IF('07 - EVIDENCE &amp; ASSURANCE'!A14&lt;&gt;"",IF('07 - EVIDENCE &amp; ASSURANCE'!G14="","",'07 - EVIDENCE &amp; ASSURANCE'!G14),"")</f>
        <v/>
      </c>
      <c r="AD192" t="str">
        <f>IF('07 - EVIDENCE &amp; ASSURANCE'!A14&lt;&gt;"",IF('07 - EVIDENCE &amp; ASSURANCE'!H14="","",'07 - EVIDENCE &amp; ASSURANCE'!H14),"")</f>
        <v/>
      </c>
      <c r="AE192" t="str">
        <f>IF('07 - EVIDENCE &amp; ASSURANCE'!A14&lt;&gt;"",IF('07 - EVIDENCE &amp; ASSURANCE'!D14="","",'07 - EVIDENCE &amp; ASSURANCE'!D14),"")</f>
        <v/>
      </c>
      <c r="AF192" s="17" t="str">
        <f>IF('07 - EVIDENCE &amp; ASSURANCE'!A14&lt;&gt;"",IF('07 - EVIDENCE &amp; ASSURANCE'!E14="","",'07 - EVIDENCE &amp; ASSURANCE'!E14),"")</f>
        <v/>
      </c>
      <c r="AG192" t="str">
        <f>IF('07 - EVIDENCE &amp; ASSURANCE'!A14&lt;&gt;"",IF('07 - EVIDENCE &amp; ASSURANCE'!I14="","",'07 - EVIDENCE &amp; ASSURANCE'!I14),"")</f>
        <v/>
      </c>
      <c r="AH192" t="str">
        <f>IF('07 - EVIDENCE &amp; ASSURANCE'!A14&lt;&gt;"",IF('07 - EVIDENCE &amp; ASSURANCE'!J14="","",'07 - EVIDENCE &amp; ASSURANCE'!J14),"")</f>
        <v/>
      </c>
      <c r="AI192" t="str">
        <f>IF('07 - EVIDENCE &amp; ASSURANCE'!A14&lt;&gt;"",IF('07 - EVIDENCE &amp; ASSURANCE'!C14="","",'07 - EVIDENCE &amp; ASSURANCE'!C14),"")</f>
        <v/>
      </c>
      <c r="AJ192" t="str">
        <f>IF('07 - EVIDENCE &amp; ASSURANCE'!A14&lt;&gt;"","07 - EVIDENCE &amp; ASSURANCE row 14","")</f>
        <v/>
      </c>
      <c r="AK192">
        <f>IF(AND('07 - EVIDENCE &amp; ASSURANCE'!A14&lt;&gt;"",OR('07 - EVIDENCE &amp; ASSURANCE'!C14&lt;&gt;"Closed",'07 - EVIDENCE &amp; ASSURANCE'!G14&lt;&gt;""),OR(AC192&lt;&gt;"",AD192&lt;&gt;"")),IF(Y192="Critical",1,IF(Y192="Review",2,3))*100000000+IF(ISNUMBER(AF192),AF192,99999)*1000+ROW(),999999999999)</f>
        <v>999999999999</v>
      </c>
      <c r="AL192">
        <f t="shared" si="16"/>
        <v>999999999999</v>
      </c>
      <c r="AM192">
        <f t="shared" si="20"/>
        <v>999999999999</v>
      </c>
      <c r="AN192">
        <f t="shared" si="17"/>
        <v>999999999999</v>
      </c>
      <c r="AO192">
        <f t="shared" si="18"/>
        <v>999999999999</v>
      </c>
      <c r="AP192">
        <f t="shared" si="15"/>
        <v>999999999999</v>
      </c>
      <c r="AQ192">
        <f t="shared" si="14"/>
        <v>999999999999</v>
      </c>
      <c r="AR192">
        <f t="shared" si="19"/>
        <v>0</v>
      </c>
    </row>
    <row r="193" spans="25:44">
      <c r="Y193" t="str">
        <f>IF('07 - EVIDENCE &amp; ASSURANCE'!A15&lt;&gt;"",IF('07 - EVIDENCE &amp; ASSURANCE'!F15="","",'07 - EVIDENCE &amp; ASSURANCE'!F15),"")</f>
        <v/>
      </c>
      <c r="Z193" t="str">
        <f>IF('07 - EVIDENCE &amp; ASSURANCE'!A15&lt;&gt;"","Assurance","")</f>
        <v/>
      </c>
      <c r="AA193" t="str">
        <f>IF('07 - EVIDENCE &amp; ASSURANCE'!A15&lt;&gt;"",IF('07 - EVIDENCE &amp; ASSURANCE'!A15="","",'07 - EVIDENCE &amp; ASSURANCE'!A15),"")</f>
        <v/>
      </c>
      <c r="AB193" t="str">
        <f>IF('07 - EVIDENCE &amp; ASSURANCE'!A15&lt;&gt;"",IF('07 - EVIDENCE &amp; ASSURANCE'!B15="","",'07 - EVIDENCE &amp; ASSURANCE'!B15),"")</f>
        <v/>
      </c>
      <c r="AC193" t="str">
        <f>IF('07 - EVIDENCE &amp; ASSURANCE'!A15&lt;&gt;"",IF('07 - EVIDENCE &amp; ASSURANCE'!G15="","",'07 - EVIDENCE &amp; ASSURANCE'!G15),"")</f>
        <v/>
      </c>
      <c r="AD193" t="str">
        <f>IF('07 - EVIDENCE &amp; ASSURANCE'!A15&lt;&gt;"",IF('07 - EVIDENCE &amp; ASSURANCE'!H15="","",'07 - EVIDENCE &amp; ASSURANCE'!H15),"")</f>
        <v/>
      </c>
      <c r="AE193" t="str">
        <f>IF('07 - EVIDENCE &amp; ASSURANCE'!A15&lt;&gt;"",IF('07 - EVIDENCE &amp; ASSURANCE'!D15="","",'07 - EVIDENCE &amp; ASSURANCE'!D15),"")</f>
        <v/>
      </c>
      <c r="AF193" s="17" t="str">
        <f>IF('07 - EVIDENCE &amp; ASSURANCE'!A15&lt;&gt;"",IF('07 - EVIDENCE &amp; ASSURANCE'!E15="","",'07 - EVIDENCE &amp; ASSURANCE'!E15),"")</f>
        <v/>
      </c>
      <c r="AG193" t="str">
        <f>IF('07 - EVIDENCE &amp; ASSURANCE'!A15&lt;&gt;"",IF('07 - EVIDENCE &amp; ASSURANCE'!I15="","",'07 - EVIDENCE &amp; ASSURANCE'!I15),"")</f>
        <v/>
      </c>
      <c r="AH193" t="str">
        <f>IF('07 - EVIDENCE &amp; ASSURANCE'!A15&lt;&gt;"",IF('07 - EVIDENCE &amp; ASSURANCE'!J15="","",'07 - EVIDENCE &amp; ASSURANCE'!J15),"")</f>
        <v/>
      </c>
      <c r="AI193" t="str">
        <f>IF('07 - EVIDENCE &amp; ASSURANCE'!A15&lt;&gt;"",IF('07 - EVIDENCE &amp; ASSURANCE'!C15="","",'07 - EVIDENCE &amp; ASSURANCE'!C15),"")</f>
        <v/>
      </c>
      <c r="AJ193" t="str">
        <f>IF('07 - EVIDENCE &amp; ASSURANCE'!A15&lt;&gt;"","07 - EVIDENCE &amp; ASSURANCE row 15","")</f>
        <v/>
      </c>
      <c r="AK193">
        <f>IF(AND('07 - EVIDENCE &amp; ASSURANCE'!A15&lt;&gt;"",OR('07 - EVIDENCE &amp; ASSURANCE'!C15&lt;&gt;"Closed",'07 - EVIDENCE &amp; ASSURANCE'!G15&lt;&gt;""),OR(AC193&lt;&gt;"",AD193&lt;&gt;"")),IF(Y193="Critical",1,IF(Y193="Review",2,3))*100000000+IF(ISNUMBER(AF193),AF193,99999)*1000+ROW(),999999999999)</f>
        <v>999999999999</v>
      </c>
      <c r="AL193">
        <f t="shared" si="16"/>
        <v>999999999999</v>
      </c>
      <c r="AM193">
        <f t="shared" si="20"/>
        <v>999999999999</v>
      </c>
      <c r="AN193">
        <f t="shared" si="17"/>
        <v>999999999999</v>
      </c>
      <c r="AO193">
        <f t="shared" si="18"/>
        <v>999999999999</v>
      </c>
      <c r="AP193">
        <f t="shared" si="15"/>
        <v>999999999999</v>
      </c>
      <c r="AQ193">
        <f t="shared" si="14"/>
        <v>999999999999</v>
      </c>
      <c r="AR193">
        <f t="shared" si="19"/>
        <v>0</v>
      </c>
    </row>
    <row r="194" spans="25:44">
      <c r="Y194" t="str">
        <f>IF('07 - EVIDENCE &amp; ASSURANCE'!A16&lt;&gt;"",IF('07 - EVIDENCE &amp; ASSURANCE'!F16="","",'07 - EVIDENCE &amp; ASSURANCE'!F16),"")</f>
        <v/>
      </c>
      <c r="Z194" t="str">
        <f>IF('07 - EVIDENCE &amp; ASSURANCE'!A16&lt;&gt;"","Assurance","")</f>
        <v/>
      </c>
      <c r="AA194" t="str">
        <f>IF('07 - EVIDENCE &amp; ASSURANCE'!A16&lt;&gt;"",IF('07 - EVIDENCE &amp; ASSURANCE'!A16="","",'07 - EVIDENCE &amp; ASSURANCE'!A16),"")</f>
        <v/>
      </c>
      <c r="AB194" t="str">
        <f>IF('07 - EVIDENCE &amp; ASSURANCE'!A16&lt;&gt;"",IF('07 - EVIDENCE &amp; ASSURANCE'!B16="","",'07 - EVIDENCE &amp; ASSURANCE'!B16),"")</f>
        <v/>
      </c>
      <c r="AC194" t="str">
        <f>IF('07 - EVIDENCE &amp; ASSURANCE'!A16&lt;&gt;"",IF('07 - EVIDENCE &amp; ASSURANCE'!G16="","",'07 - EVIDENCE &amp; ASSURANCE'!G16),"")</f>
        <v/>
      </c>
      <c r="AD194" t="str">
        <f>IF('07 - EVIDENCE &amp; ASSURANCE'!A16&lt;&gt;"",IF('07 - EVIDENCE &amp; ASSURANCE'!H16="","",'07 - EVIDENCE &amp; ASSURANCE'!H16),"")</f>
        <v/>
      </c>
      <c r="AE194" t="str">
        <f>IF('07 - EVIDENCE &amp; ASSURANCE'!A16&lt;&gt;"",IF('07 - EVIDENCE &amp; ASSURANCE'!D16="","",'07 - EVIDENCE &amp; ASSURANCE'!D16),"")</f>
        <v/>
      </c>
      <c r="AF194" s="17" t="str">
        <f>IF('07 - EVIDENCE &amp; ASSURANCE'!A16&lt;&gt;"",IF('07 - EVIDENCE &amp; ASSURANCE'!E16="","",'07 - EVIDENCE &amp; ASSURANCE'!E16),"")</f>
        <v/>
      </c>
      <c r="AG194" t="str">
        <f>IF('07 - EVIDENCE &amp; ASSURANCE'!A16&lt;&gt;"",IF('07 - EVIDENCE &amp; ASSURANCE'!I16="","",'07 - EVIDENCE &amp; ASSURANCE'!I16),"")</f>
        <v/>
      </c>
      <c r="AH194" t="str">
        <f>IF('07 - EVIDENCE &amp; ASSURANCE'!A16&lt;&gt;"",IF('07 - EVIDENCE &amp; ASSURANCE'!J16="","",'07 - EVIDENCE &amp; ASSURANCE'!J16),"")</f>
        <v/>
      </c>
      <c r="AI194" t="str">
        <f>IF('07 - EVIDENCE &amp; ASSURANCE'!A16&lt;&gt;"",IF('07 - EVIDENCE &amp; ASSURANCE'!C16="","",'07 - EVIDENCE &amp; ASSURANCE'!C16),"")</f>
        <v/>
      </c>
      <c r="AJ194" t="str">
        <f>IF('07 - EVIDENCE &amp; ASSURANCE'!A16&lt;&gt;"","07 - EVIDENCE &amp; ASSURANCE row 16","")</f>
        <v/>
      </c>
      <c r="AK194">
        <f>IF(AND('07 - EVIDENCE &amp; ASSURANCE'!A16&lt;&gt;"",OR('07 - EVIDENCE &amp; ASSURANCE'!C16&lt;&gt;"Closed",'07 - EVIDENCE &amp; ASSURANCE'!G16&lt;&gt;""),OR(AC194&lt;&gt;"",AD194&lt;&gt;"")),IF(Y194="Critical",1,IF(Y194="Review",2,3))*100000000+IF(ISNUMBER(AF194),AF194,99999)*1000+ROW(),999999999999)</f>
        <v>999999999999</v>
      </c>
      <c r="AL194">
        <f t="shared" si="16"/>
        <v>999999999999</v>
      </c>
      <c r="AM194">
        <f t="shared" si="20"/>
        <v>999999999999</v>
      </c>
      <c r="AN194">
        <f t="shared" si="17"/>
        <v>999999999999</v>
      </c>
      <c r="AO194">
        <f t="shared" si="18"/>
        <v>999999999999</v>
      </c>
      <c r="AP194">
        <f t="shared" si="15"/>
        <v>999999999999</v>
      </c>
      <c r="AQ194">
        <f t="shared" si="14"/>
        <v>999999999999</v>
      </c>
      <c r="AR194">
        <f t="shared" si="19"/>
        <v>0</v>
      </c>
    </row>
    <row r="195" spans="25:44">
      <c r="Y195" t="str">
        <f>IF('07 - EVIDENCE &amp; ASSURANCE'!A17&lt;&gt;"",IF('07 - EVIDENCE &amp; ASSURANCE'!F17="","",'07 - EVIDENCE &amp; ASSURANCE'!F17),"")</f>
        <v/>
      </c>
      <c r="Z195" t="str">
        <f>IF('07 - EVIDENCE &amp; ASSURANCE'!A17&lt;&gt;"","Assurance","")</f>
        <v/>
      </c>
      <c r="AA195" t="str">
        <f>IF('07 - EVIDENCE &amp; ASSURANCE'!A17&lt;&gt;"",IF('07 - EVIDENCE &amp; ASSURANCE'!A17="","",'07 - EVIDENCE &amp; ASSURANCE'!A17),"")</f>
        <v/>
      </c>
      <c r="AB195" t="str">
        <f>IF('07 - EVIDENCE &amp; ASSURANCE'!A17&lt;&gt;"",IF('07 - EVIDENCE &amp; ASSURANCE'!B17="","",'07 - EVIDENCE &amp; ASSURANCE'!B17),"")</f>
        <v/>
      </c>
      <c r="AC195" t="str">
        <f>IF('07 - EVIDENCE &amp; ASSURANCE'!A17&lt;&gt;"",IF('07 - EVIDENCE &amp; ASSURANCE'!G17="","",'07 - EVIDENCE &amp; ASSURANCE'!G17),"")</f>
        <v/>
      </c>
      <c r="AD195" t="str">
        <f>IF('07 - EVIDENCE &amp; ASSURANCE'!A17&lt;&gt;"",IF('07 - EVIDENCE &amp; ASSURANCE'!H17="","",'07 - EVIDENCE &amp; ASSURANCE'!H17),"")</f>
        <v/>
      </c>
      <c r="AE195" t="str">
        <f>IF('07 - EVIDENCE &amp; ASSURANCE'!A17&lt;&gt;"",IF('07 - EVIDENCE &amp; ASSURANCE'!D17="","",'07 - EVIDENCE &amp; ASSURANCE'!D17),"")</f>
        <v/>
      </c>
      <c r="AF195" s="17" t="str">
        <f>IF('07 - EVIDENCE &amp; ASSURANCE'!A17&lt;&gt;"",IF('07 - EVIDENCE &amp; ASSURANCE'!E17="","",'07 - EVIDENCE &amp; ASSURANCE'!E17),"")</f>
        <v/>
      </c>
      <c r="AG195" t="str">
        <f>IF('07 - EVIDENCE &amp; ASSURANCE'!A17&lt;&gt;"",IF('07 - EVIDENCE &amp; ASSURANCE'!I17="","",'07 - EVIDENCE &amp; ASSURANCE'!I17),"")</f>
        <v/>
      </c>
      <c r="AH195" t="str">
        <f>IF('07 - EVIDENCE &amp; ASSURANCE'!A17&lt;&gt;"",IF('07 - EVIDENCE &amp; ASSURANCE'!J17="","",'07 - EVIDENCE &amp; ASSURANCE'!J17),"")</f>
        <v/>
      </c>
      <c r="AI195" t="str">
        <f>IF('07 - EVIDENCE &amp; ASSURANCE'!A17&lt;&gt;"",IF('07 - EVIDENCE &amp; ASSURANCE'!C17="","",'07 - EVIDENCE &amp; ASSURANCE'!C17),"")</f>
        <v/>
      </c>
      <c r="AJ195" t="str">
        <f>IF('07 - EVIDENCE &amp; ASSURANCE'!A17&lt;&gt;"","07 - EVIDENCE &amp; ASSURANCE row 17","")</f>
        <v/>
      </c>
      <c r="AK195">
        <f>IF(AND('07 - EVIDENCE &amp; ASSURANCE'!A17&lt;&gt;"",OR('07 - EVIDENCE &amp; ASSURANCE'!C17&lt;&gt;"Closed",'07 - EVIDENCE &amp; ASSURANCE'!G17&lt;&gt;""),OR(AC195&lt;&gt;"",AD195&lt;&gt;"")),IF(Y195="Critical",1,IF(Y195="Review",2,3))*100000000+IF(ISNUMBER(AF195),AF195,99999)*1000+ROW(),999999999999)</f>
        <v>999999999999</v>
      </c>
      <c r="AL195">
        <f t="shared" si="16"/>
        <v>999999999999</v>
      </c>
      <c r="AM195">
        <f t="shared" si="20"/>
        <v>999999999999</v>
      </c>
      <c r="AN195">
        <f t="shared" si="17"/>
        <v>999999999999</v>
      </c>
      <c r="AO195">
        <f t="shared" si="18"/>
        <v>999999999999</v>
      </c>
      <c r="AP195">
        <f t="shared" si="15"/>
        <v>999999999999</v>
      </c>
      <c r="AQ195">
        <f t="shared" si="14"/>
        <v>999999999999</v>
      </c>
      <c r="AR195">
        <f t="shared" si="19"/>
        <v>0</v>
      </c>
    </row>
    <row r="196" spans="25:44">
      <c r="Y196" t="str">
        <f>IF('07 - EVIDENCE &amp; ASSURANCE'!A18&lt;&gt;"",IF('07 - EVIDENCE &amp; ASSURANCE'!F18="","",'07 - EVIDENCE &amp; ASSURANCE'!F18),"")</f>
        <v/>
      </c>
      <c r="Z196" t="str">
        <f>IF('07 - EVIDENCE &amp; ASSURANCE'!A18&lt;&gt;"","Assurance","")</f>
        <v/>
      </c>
      <c r="AA196" t="str">
        <f>IF('07 - EVIDENCE &amp; ASSURANCE'!A18&lt;&gt;"",IF('07 - EVIDENCE &amp; ASSURANCE'!A18="","",'07 - EVIDENCE &amp; ASSURANCE'!A18),"")</f>
        <v/>
      </c>
      <c r="AB196" t="str">
        <f>IF('07 - EVIDENCE &amp; ASSURANCE'!A18&lt;&gt;"",IF('07 - EVIDENCE &amp; ASSURANCE'!B18="","",'07 - EVIDENCE &amp; ASSURANCE'!B18),"")</f>
        <v/>
      </c>
      <c r="AC196" t="str">
        <f>IF('07 - EVIDENCE &amp; ASSURANCE'!A18&lt;&gt;"",IF('07 - EVIDENCE &amp; ASSURANCE'!G18="","",'07 - EVIDENCE &amp; ASSURANCE'!G18),"")</f>
        <v/>
      </c>
      <c r="AD196" t="str">
        <f>IF('07 - EVIDENCE &amp; ASSURANCE'!A18&lt;&gt;"",IF('07 - EVIDENCE &amp; ASSURANCE'!H18="","",'07 - EVIDENCE &amp; ASSURANCE'!H18),"")</f>
        <v/>
      </c>
      <c r="AE196" t="str">
        <f>IF('07 - EVIDENCE &amp; ASSURANCE'!A18&lt;&gt;"",IF('07 - EVIDENCE &amp; ASSURANCE'!D18="","",'07 - EVIDENCE &amp; ASSURANCE'!D18),"")</f>
        <v/>
      </c>
      <c r="AF196" s="17" t="str">
        <f>IF('07 - EVIDENCE &amp; ASSURANCE'!A18&lt;&gt;"",IF('07 - EVIDENCE &amp; ASSURANCE'!E18="","",'07 - EVIDENCE &amp; ASSURANCE'!E18),"")</f>
        <v/>
      </c>
      <c r="AG196" t="str">
        <f>IF('07 - EVIDENCE &amp; ASSURANCE'!A18&lt;&gt;"",IF('07 - EVIDENCE &amp; ASSURANCE'!I18="","",'07 - EVIDENCE &amp; ASSURANCE'!I18),"")</f>
        <v/>
      </c>
      <c r="AH196" t="str">
        <f>IF('07 - EVIDENCE &amp; ASSURANCE'!A18&lt;&gt;"",IF('07 - EVIDENCE &amp; ASSURANCE'!J18="","",'07 - EVIDENCE &amp; ASSURANCE'!J18),"")</f>
        <v/>
      </c>
      <c r="AI196" t="str">
        <f>IF('07 - EVIDENCE &amp; ASSURANCE'!A18&lt;&gt;"",IF('07 - EVIDENCE &amp; ASSURANCE'!C18="","",'07 - EVIDENCE &amp; ASSURANCE'!C18),"")</f>
        <v/>
      </c>
      <c r="AJ196" t="str">
        <f>IF('07 - EVIDENCE &amp; ASSURANCE'!A18&lt;&gt;"","07 - EVIDENCE &amp; ASSURANCE row 18","")</f>
        <v/>
      </c>
      <c r="AK196">
        <f>IF(AND('07 - EVIDENCE &amp; ASSURANCE'!A18&lt;&gt;"",OR('07 - EVIDENCE &amp; ASSURANCE'!C18&lt;&gt;"Closed",'07 - EVIDENCE &amp; ASSURANCE'!G18&lt;&gt;""),OR(AC196&lt;&gt;"",AD196&lt;&gt;"")),IF(Y196="Critical",1,IF(Y196="Review",2,3))*100000000+IF(ISNUMBER(AF196),AF196,99999)*1000+ROW(),999999999999)</f>
        <v>999999999999</v>
      </c>
      <c r="AL196">
        <f t="shared" si="16"/>
        <v>999999999999</v>
      </c>
      <c r="AM196">
        <f t="shared" si="20"/>
        <v>999999999999</v>
      </c>
      <c r="AN196">
        <f t="shared" si="17"/>
        <v>999999999999</v>
      </c>
      <c r="AO196">
        <f t="shared" si="18"/>
        <v>999999999999</v>
      </c>
      <c r="AP196">
        <f t="shared" si="15"/>
        <v>999999999999</v>
      </c>
      <c r="AQ196">
        <f t="shared" si="14"/>
        <v>999999999999</v>
      </c>
      <c r="AR196">
        <f t="shared" si="19"/>
        <v>0</v>
      </c>
    </row>
    <row r="197" spans="25:44">
      <c r="Y197" t="str">
        <f>IF('07 - EVIDENCE &amp; ASSURANCE'!A19&lt;&gt;"",IF('07 - EVIDENCE &amp; ASSURANCE'!F19="","",'07 - EVIDENCE &amp; ASSURANCE'!F19),"")</f>
        <v/>
      </c>
      <c r="Z197" t="str">
        <f>IF('07 - EVIDENCE &amp; ASSURANCE'!A19&lt;&gt;"","Assurance","")</f>
        <v/>
      </c>
      <c r="AA197" t="str">
        <f>IF('07 - EVIDENCE &amp; ASSURANCE'!A19&lt;&gt;"",IF('07 - EVIDENCE &amp; ASSURANCE'!A19="","",'07 - EVIDENCE &amp; ASSURANCE'!A19),"")</f>
        <v/>
      </c>
      <c r="AB197" t="str">
        <f>IF('07 - EVIDENCE &amp; ASSURANCE'!A19&lt;&gt;"",IF('07 - EVIDENCE &amp; ASSURANCE'!B19="","",'07 - EVIDENCE &amp; ASSURANCE'!B19),"")</f>
        <v/>
      </c>
      <c r="AC197" t="str">
        <f>IF('07 - EVIDENCE &amp; ASSURANCE'!A19&lt;&gt;"",IF('07 - EVIDENCE &amp; ASSURANCE'!G19="","",'07 - EVIDENCE &amp; ASSURANCE'!G19),"")</f>
        <v/>
      </c>
      <c r="AD197" t="str">
        <f>IF('07 - EVIDENCE &amp; ASSURANCE'!A19&lt;&gt;"",IF('07 - EVIDENCE &amp; ASSURANCE'!H19="","",'07 - EVIDENCE &amp; ASSURANCE'!H19),"")</f>
        <v/>
      </c>
      <c r="AE197" t="str">
        <f>IF('07 - EVIDENCE &amp; ASSURANCE'!A19&lt;&gt;"",IF('07 - EVIDENCE &amp; ASSURANCE'!D19="","",'07 - EVIDENCE &amp; ASSURANCE'!D19),"")</f>
        <v/>
      </c>
      <c r="AF197" s="17" t="str">
        <f>IF('07 - EVIDENCE &amp; ASSURANCE'!A19&lt;&gt;"",IF('07 - EVIDENCE &amp; ASSURANCE'!E19="","",'07 - EVIDENCE &amp; ASSURANCE'!E19),"")</f>
        <v/>
      </c>
      <c r="AG197" t="str">
        <f>IF('07 - EVIDENCE &amp; ASSURANCE'!A19&lt;&gt;"",IF('07 - EVIDENCE &amp; ASSURANCE'!I19="","",'07 - EVIDENCE &amp; ASSURANCE'!I19),"")</f>
        <v/>
      </c>
      <c r="AH197" t="str">
        <f>IF('07 - EVIDENCE &amp; ASSURANCE'!A19&lt;&gt;"",IF('07 - EVIDENCE &amp; ASSURANCE'!J19="","",'07 - EVIDENCE &amp; ASSURANCE'!J19),"")</f>
        <v/>
      </c>
      <c r="AI197" t="str">
        <f>IF('07 - EVIDENCE &amp; ASSURANCE'!A19&lt;&gt;"",IF('07 - EVIDENCE &amp; ASSURANCE'!C19="","",'07 - EVIDENCE &amp; ASSURANCE'!C19),"")</f>
        <v/>
      </c>
      <c r="AJ197" t="str">
        <f>IF('07 - EVIDENCE &amp; ASSURANCE'!A19&lt;&gt;"","07 - EVIDENCE &amp; ASSURANCE row 19","")</f>
        <v/>
      </c>
      <c r="AK197">
        <f>IF(AND('07 - EVIDENCE &amp; ASSURANCE'!A19&lt;&gt;"",OR('07 - EVIDENCE &amp; ASSURANCE'!C19&lt;&gt;"Closed",'07 - EVIDENCE &amp; ASSURANCE'!G19&lt;&gt;""),OR(AC197&lt;&gt;"",AD197&lt;&gt;"")),IF(Y197="Critical",1,IF(Y197="Review",2,3))*100000000+IF(ISNUMBER(AF197),AF197,99999)*1000+ROW(),999999999999)</f>
        <v>999999999999</v>
      </c>
      <c r="AL197">
        <f t="shared" si="16"/>
        <v>999999999999</v>
      </c>
      <c r="AM197">
        <f t="shared" si="20"/>
        <v>999999999999</v>
      </c>
      <c r="AN197">
        <f t="shared" si="17"/>
        <v>999999999999</v>
      </c>
      <c r="AO197">
        <f t="shared" si="18"/>
        <v>999999999999</v>
      </c>
      <c r="AP197">
        <f t="shared" si="15"/>
        <v>999999999999</v>
      </c>
      <c r="AQ197">
        <f t="shared" si="14"/>
        <v>999999999999</v>
      </c>
      <c r="AR197">
        <f t="shared" si="19"/>
        <v>0</v>
      </c>
    </row>
    <row r="198" spans="25:44">
      <c r="Y198" t="str">
        <f>IF('07 - EVIDENCE &amp; ASSURANCE'!A20&lt;&gt;"",IF('07 - EVIDENCE &amp; ASSURANCE'!F20="","",'07 - EVIDENCE &amp; ASSURANCE'!F20),"")</f>
        <v/>
      </c>
      <c r="Z198" t="str">
        <f>IF('07 - EVIDENCE &amp; ASSURANCE'!A20&lt;&gt;"","Assurance","")</f>
        <v/>
      </c>
      <c r="AA198" t="str">
        <f>IF('07 - EVIDENCE &amp; ASSURANCE'!A20&lt;&gt;"",IF('07 - EVIDENCE &amp; ASSURANCE'!A20="","",'07 - EVIDENCE &amp; ASSURANCE'!A20),"")</f>
        <v/>
      </c>
      <c r="AB198" t="str">
        <f>IF('07 - EVIDENCE &amp; ASSURANCE'!A20&lt;&gt;"",IF('07 - EVIDENCE &amp; ASSURANCE'!B20="","",'07 - EVIDENCE &amp; ASSURANCE'!B20),"")</f>
        <v/>
      </c>
      <c r="AC198" t="str">
        <f>IF('07 - EVIDENCE &amp; ASSURANCE'!A20&lt;&gt;"",IF('07 - EVIDENCE &amp; ASSURANCE'!G20="","",'07 - EVIDENCE &amp; ASSURANCE'!G20),"")</f>
        <v/>
      </c>
      <c r="AD198" t="str">
        <f>IF('07 - EVIDENCE &amp; ASSURANCE'!A20&lt;&gt;"",IF('07 - EVIDENCE &amp; ASSURANCE'!H20="","",'07 - EVIDENCE &amp; ASSURANCE'!H20),"")</f>
        <v/>
      </c>
      <c r="AE198" t="str">
        <f>IF('07 - EVIDENCE &amp; ASSURANCE'!A20&lt;&gt;"",IF('07 - EVIDENCE &amp; ASSURANCE'!D20="","",'07 - EVIDENCE &amp; ASSURANCE'!D20),"")</f>
        <v/>
      </c>
      <c r="AF198" s="17" t="str">
        <f>IF('07 - EVIDENCE &amp; ASSURANCE'!A20&lt;&gt;"",IF('07 - EVIDENCE &amp; ASSURANCE'!E20="","",'07 - EVIDENCE &amp; ASSURANCE'!E20),"")</f>
        <v/>
      </c>
      <c r="AG198" t="str">
        <f>IF('07 - EVIDENCE &amp; ASSURANCE'!A20&lt;&gt;"",IF('07 - EVIDENCE &amp; ASSURANCE'!I20="","",'07 - EVIDENCE &amp; ASSURANCE'!I20),"")</f>
        <v/>
      </c>
      <c r="AH198" t="str">
        <f>IF('07 - EVIDENCE &amp; ASSURANCE'!A20&lt;&gt;"",IF('07 - EVIDENCE &amp; ASSURANCE'!J20="","",'07 - EVIDENCE &amp; ASSURANCE'!J20),"")</f>
        <v/>
      </c>
      <c r="AI198" t="str">
        <f>IF('07 - EVIDENCE &amp; ASSURANCE'!A20&lt;&gt;"",IF('07 - EVIDENCE &amp; ASSURANCE'!C20="","",'07 - EVIDENCE &amp; ASSURANCE'!C20),"")</f>
        <v/>
      </c>
      <c r="AJ198" t="str">
        <f>IF('07 - EVIDENCE &amp; ASSURANCE'!A20&lt;&gt;"","07 - EVIDENCE &amp; ASSURANCE row 20","")</f>
        <v/>
      </c>
      <c r="AK198">
        <f>IF(AND('07 - EVIDENCE &amp; ASSURANCE'!A20&lt;&gt;"",OR('07 - EVIDENCE &amp; ASSURANCE'!C20&lt;&gt;"Closed",'07 - EVIDENCE &amp; ASSURANCE'!G20&lt;&gt;""),OR(AC198&lt;&gt;"",AD198&lt;&gt;"")),IF(Y198="Critical",1,IF(Y198="Review",2,3))*100000000+IF(ISNUMBER(AF198),AF198,99999)*1000+ROW(),999999999999)</f>
        <v>999999999999</v>
      </c>
      <c r="AL198">
        <f t="shared" si="16"/>
        <v>999999999999</v>
      </c>
      <c r="AM198">
        <f t="shared" si="20"/>
        <v>999999999999</v>
      </c>
      <c r="AN198">
        <f t="shared" si="17"/>
        <v>999999999999</v>
      </c>
      <c r="AO198">
        <f t="shared" si="18"/>
        <v>999999999999</v>
      </c>
      <c r="AP198">
        <f t="shared" si="15"/>
        <v>999999999999</v>
      </c>
      <c r="AQ198">
        <f t="shared" si="14"/>
        <v>999999999999</v>
      </c>
      <c r="AR198">
        <f t="shared" si="19"/>
        <v>0</v>
      </c>
    </row>
    <row r="199" spans="25:44">
      <c r="Y199" t="str">
        <f>IF('07 - EVIDENCE &amp; ASSURANCE'!A21&lt;&gt;"",IF('07 - EVIDENCE &amp; ASSURANCE'!F21="","",'07 - EVIDENCE &amp; ASSURANCE'!F21),"")</f>
        <v/>
      </c>
      <c r="Z199" t="str">
        <f>IF('07 - EVIDENCE &amp; ASSURANCE'!A21&lt;&gt;"","Assurance","")</f>
        <v/>
      </c>
      <c r="AA199" t="str">
        <f>IF('07 - EVIDENCE &amp; ASSURANCE'!A21&lt;&gt;"",IF('07 - EVIDENCE &amp; ASSURANCE'!A21="","",'07 - EVIDENCE &amp; ASSURANCE'!A21),"")</f>
        <v/>
      </c>
      <c r="AB199" t="str">
        <f>IF('07 - EVIDENCE &amp; ASSURANCE'!A21&lt;&gt;"",IF('07 - EVIDENCE &amp; ASSURANCE'!B21="","",'07 - EVIDENCE &amp; ASSURANCE'!B21),"")</f>
        <v/>
      </c>
      <c r="AC199" t="str">
        <f>IF('07 - EVIDENCE &amp; ASSURANCE'!A21&lt;&gt;"",IF('07 - EVIDENCE &amp; ASSURANCE'!G21="","",'07 - EVIDENCE &amp; ASSURANCE'!G21),"")</f>
        <v/>
      </c>
      <c r="AD199" t="str">
        <f>IF('07 - EVIDENCE &amp; ASSURANCE'!A21&lt;&gt;"",IF('07 - EVIDENCE &amp; ASSURANCE'!H21="","",'07 - EVIDENCE &amp; ASSURANCE'!H21),"")</f>
        <v/>
      </c>
      <c r="AE199" t="str">
        <f>IF('07 - EVIDENCE &amp; ASSURANCE'!A21&lt;&gt;"",IF('07 - EVIDENCE &amp; ASSURANCE'!D21="","",'07 - EVIDENCE &amp; ASSURANCE'!D21),"")</f>
        <v/>
      </c>
      <c r="AF199" s="17" t="str">
        <f>IF('07 - EVIDENCE &amp; ASSURANCE'!A21&lt;&gt;"",IF('07 - EVIDENCE &amp; ASSURANCE'!E21="","",'07 - EVIDENCE &amp; ASSURANCE'!E21),"")</f>
        <v/>
      </c>
      <c r="AG199" t="str">
        <f>IF('07 - EVIDENCE &amp; ASSURANCE'!A21&lt;&gt;"",IF('07 - EVIDENCE &amp; ASSURANCE'!I21="","",'07 - EVIDENCE &amp; ASSURANCE'!I21),"")</f>
        <v/>
      </c>
      <c r="AH199" t="str">
        <f>IF('07 - EVIDENCE &amp; ASSURANCE'!A21&lt;&gt;"",IF('07 - EVIDENCE &amp; ASSURANCE'!J21="","",'07 - EVIDENCE &amp; ASSURANCE'!J21),"")</f>
        <v/>
      </c>
      <c r="AI199" t="str">
        <f>IF('07 - EVIDENCE &amp; ASSURANCE'!A21&lt;&gt;"",IF('07 - EVIDENCE &amp; ASSURANCE'!C21="","",'07 - EVIDENCE &amp; ASSURANCE'!C21),"")</f>
        <v/>
      </c>
      <c r="AJ199" t="str">
        <f>IF('07 - EVIDENCE &amp; ASSURANCE'!A21&lt;&gt;"","07 - EVIDENCE &amp; ASSURANCE row 21","")</f>
        <v/>
      </c>
      <c r="AK199">
        <f>IF(AND('07 - EVIDENCE &amp; ASSURANCE'!A21&lt;&gt;"",OR('07 - EVIDENCE &amp; ASSURANCE'!C21&lt;&gt;"Closed",'07 - EVIDENCE &amp; ASSURANCE'!G21&lt;&gt;""),OR(AC199&lt;&gt;"",AD199&lt;&gt;"")),IF(Y199="Critical",1,IF(Y199="Review",2,3))*100000000+IF(ISNUMBER(AF199),AF199,99999)*1000+ROW(),999999999999)</f>
        <v>999999999999</v>
      </c>
      <c r="AL199">
        <f t="shared" si="16"/>
        <v>999999999999</v>
      </c>
      <c r="AM199">
        <f t="shared" si="20"/>
        <v>999999999999</v>
      </c>
      <c r="AN199">
        <f t="shared" si="17"/>
        <v>999999999999</v>
      </c>
      <c r="AO199">
        <f t="shared" si="18"/>
        <v>999999999999</v>
      </c>
      <c r="AP199">
        <f t="shared" si="15"/>
        <v>999999999999</v>
      </c>
      <c r="AQ199">
        <f t="shared" si="14"/>
        <v>999999999999</v>
      </c>
      <c r="AR199">
        <f t="shared" si="19"/>
        <v>0</v>
      </c>
    </row>
    <row r="200" spans="25:44">
      <c r="Y200" t="str">
        <f>IF('07 - EVIDENCE &amp; ASSURANCE'!A22&lt;&gt;"",IF('07 - EVIDENCE &amp; ASSURANCE'!F22="","",'07 - EVIDENCE &amp; ASSURANCE'!F22),"")</f>
        <v/>
      </c>
      <c r="Z200" t="str">
        <f>IF('07 - EVIDENCE &amp; ASSURANCE'!A22&lt;&gt;"","Assurance","")</f>
        <v/>
      </c>
      <c r="AA200" t="str">
        <f>IF('07 - EVIDENCE &amp; ASSURANCE'!A22&lt;&gt;"",IF('07 - EVIDENCE &amp; ASSURANCE'!A22="","",'07 - EVIDENCE &amp; ASSURANCE'!A22),"")</f>
        <v/>
      </c>
      <c r="AB200" t="str">
        <f>IF('07 - EVIDENCE &amp; ASSURANCE'!A22&lt;&gt;"",IF('07 - EVIDENCE &amp; ASSURANCE'!B22="","",'07 - EVIDENCE &amp; ASSURANCE'!B22),"")</f>
        <v/>
      </c>
      <c r="AC200" t="str">
        <f>IF('07 - EVIDENCE &amp; ASSURANCE'!A22&lt;&gt;"",IF('07 - EVIDENCE &amp; ASSURANCE'!G22="","",'07 - EVIDENCE &amp; ASSURANCE'!G22),"")</f>
        <v/>
      </c>
      <c r="AD200" t="str">
        <f>IF('07 - EVIDENCE &amp; ASSURANCE'!A22&lt;&gt;"",IF('07 - EVIDENCE &amp; ASSURANCE'!H22="","",'07 - EVIDENCE &amp; ASSURANCE'!H22),"")</f>
        <v/>
      </c>
      <c r="AE200" t="str">
        <f>IF('07 - EVIDENCE &amp; ASSURANCE'!A22&lt;&gt;"",IF('07 - EVIDENCE &amp; ASSURANCE'!D22="","",'07 - EVIDENCE &amp; ASSURANCE'!D22),"")</f>
        <v/>
      </c>
      <c r="AF200" s="17" t="str">
        <f>IF('07 - EVIDENCE &amp; ASSURANCE'!A22&lt;&gt;"",IF('07 - EVIDENCE &amp; ASSURANCE'!E22="","",'07 - EVIDENCE &amp; ASSURANCE'!E22),"")</f>
        <v/>
      </c>
      <c r="AG200" t="str">
        <f>IF('07 - EVIDENCE &amp; ASSURANCE'!A22&lt;&gt;"",IF('07 - EVIDENCE &amp; ASSURANCE'!I22="","",'07 - EVIDENCE &amp; ASSURANCE'!I22),"")</f>
        <v/>
      </c>
      <c r="AH200" t="str">
        <f>IF('07 - EVIDENCE &amp; ASSURANCE'!A22&lt;&gt;"",IF('07 - EVIDENCE &amp; ASSURANCE'!J22="","",'07 - EVIDENCE &amp; ASSURANCE'!J22),"")</f>
        <v/>
      </c>
      <c r="AI200" t="str">
        <f>IF('07 - EVIDENCE &amp; ASSURANCE'!A22&lt;&gt;"",IF('07 - EVIDENCE &amp; ASSURANCE'!C22="","",'07 - EVIDENCE &amp; ASSURANCE'!C22),"")</f>
        <v/>
      </c>
      <c r="AJ200" t="str">
        <f>IF('07 - EVIDENCE &amp; ASSURANCE'!A22&lt;&gt;"","07 - EVIDENCE &amp; ASSURANCE row 22","")</f>
        <v/>
      </c>
      <c r="AK200">
        <f>IF(AND('07 - EVIDENCE &amp; ASSURANCE'!A22&lt;&gt;"",OR('07 - EVIDENCE &amp; ASSURANCE'!C22&lt;&gt;"Closed",'07 - EVIDENCE &amp; ASSURANCE'!G22&lt;&gt;""),OR(AC200&lt;&gt;"",AD200&lt;&gt;"")),IF(Y200="Critical",1,IF(Y200="Review",2,3))*100000000+IF(ISNUMBER(AF200),AF200,99999)*1000+ROW(),999999999999)</f>
        <v>999999999999</v>
      </c>
      <c r="AL200">
        <f t="shared" si="16"/>
        <v>999999999999</v>
      </c>
      <c r="AM200">
        <f t="shared" si="20"/>
        <v>999999999999</v>
      </c>
      <c r="AN200">
        <f t="shared" si="17"/>
        <v>999999999999</v>
      </c>
      <c r="AO200">
        <f t="shared" si="18"/>
        <v>999999999999</v>
      </c>
      <c r="AP200">
        <f t="shared" si="15"/>
        <v>999999999999</v>
      </c>
      <c r="AQ200">
        <f t="shared" si="14"/>
        <v>999999999999</v>
      </c>
      <c r="AR200">
        <f t="shared" si="19"/>
        <v>0</v>
      </c>
    </row>
    <row r="201" spans="25:44">
      <c r="Y201" t="str">
        <f>IF('07 - EVIDENCE &amp; ASSURANCE'!A23&lt;&gt;"",IF('07 - EVIDENCE &amp; ASSURANCE'!F23="","",'07 - EVIDENCE &amp; ASSURANCE'!F23),"")</f>
        <v/>
      </c>
      <c r="Z201" t="str">
        <f>IF('07 - EVIDENCE &amp; ASSURANCE'!A23&lt;&gt;"","Assurance","")</f>
        <v/>
      </c>
      <c r="AA201" t="str">
        <f>IF('07 - EVIDENCE &amp; ASSURANCE'!A23&lt;&gt;"",IF('07 - EVIDENCE &amp; ASSURANCE'!A23="","",'07 - EVIDENCE &amp; ASSURANCE'!A23),"")</f>
        <v/>
      </c>
      <c r="AB201" t="str">
        <f>IF('07 - EVIDENCE &amp; ASSURANCE'!A23&lt;&gt;"",IF('07 - EVIDENCE &amp; ASSURANCE'!B23="","",'07 - EVIDENCE &amp; ASSURANCE'!B23),"")</f>
        <v/>
      </c>
      <c r="AC201" t="str">
        <f>IF('07 - EVIDENCE &amp; ASSURANCE'!A23&lt;&gt;"",IF('07 - EVIDENCE &amp; ASSURANCE'!G23="","",'07 - EVIDENCE &amp; ASSURANCE'!G23),"")</f>
        <v/>
      </c>
      <c r="AD201" t="str">
        <f>IF('07 - EVIDENCE &amp; ASSURANCE'!A23&lt;&gt;"",IF('07 - EVIDENCE &amp; ASSURANCE'!H23="","",'07 - EVIDENCE &amp; ASSURANCE'!H23),"")</f>
        <v/>
      </c>
      <c r="AE201" t="str">
        <f>IF('07 - EVIDENCE &amp; ASSURANCE'!A23&lt;&gt;"",IF('07 - EVIDENCE &amp; ASSURANCE'!D23="","",'07 - EVIDENCE &amp; ASSURANCE'!D23),"")</f>
        <v/>
      </c>
      <c r="AF201" s="17" t="str">
        <f>IF('07 - EVIDENCE &amp; ASSURANCE'!A23&lt;&gt;"",IF('07 - EVIDENCE &amp; ASSURANCE'!E23="","",'07 - EVIDENCE &amp; ASSURANCE'!E23),"")</f>
        <v/>
      </c>
      <c r="AG201" t="str">
        <f>IF('07 - EVIDENCE &amp; ASSURANCE'!A23&lt;&gt;"",IF('07 - EVIDENCE &amp; ASSURANCE'!I23="","",'07 - EVIDENCE &amp; ASSURANCE'!I23),"")</f>
        <v/>
      </c>
      <c r="AH201" t="str">
        <f>IF('07 - EVIDENCE &amp; ASSURANCE'!A23&lt;&gt;"",IF('07 - EVIDENCE &amp; ASSURANCE'!J23="","",'07 - EVIDENCE &amp; ASSURANCE'!J23),"")</f>
        <v/>
      </c>
      <c r="AI201" t="str">
        <f>IF('07 - EVIDENCE &amp; ASSURANCE'!A23&lt;&gt;"",IF('07 - EVIDENCE &amp; ASSURANCE'!C23="","",'07 - EVIDENCE &amp; ASSURANCE'!C23),"")</f>
        <v/>
      </c>
      <c r="AJ201" t="str">
        <f>IF('07 - EVIDENCE &amp; ASSURANCE'!A23&lt;&gt;"","07 - EVIDENCE &amp; ASSURANCE row 23","")</f>
        <v/>
      </c>
      <c r="AK201">
        <f>IF(AND('07 - EVIDENCE &amp; ASSURANCE'!A23&lt;&gt;"",OR('07 - EVIDENCE &amp; ASSURANCE'!C23&lt;&gt;"Closed",'07 - EVIDENCE &amp; ASSURANCE'!G23&lt;&gt;""),OR(AC201&lt;&gt;"",AD201&lt;&gt;"")),IF(Y201="Critical",1,IF(Y201="Review",2,3))*100000000+IF(ISNUMBER(AF201),AF201,99999)*1000+ROW(),999999999999)</f>
        <v>999999999999</v>
      </c>
      <c r="AL201">
        <f t="shared" si="16"/>
        <v>999999999999</v>
      </c>
      <c r="AM201">
        <f t="shared" si="20"/>
        <v>999999999999</v>
      </c>
      <c r="AN201">
        <f t="shared" si="17"/>
        <v>999999999999</v>
      </c>
      <c r="AO201">
        <f t="shared" si="18"/>
        <v>999999999999</v>
      </c>
      <c r="AP201">
        <f t="shared" si="15"/>
        <v>999999999999</v>
      </c>
      <c r="AQ201">
        <f t="shared" ref="AQ201:AQ264" si="21">IF(AND(ISNUMBER(AK201),Z201="Dependencies",FALSE),AK201,999999999999)</f>
        <v>999999999999</v>
      </c>
      <c r="AR201">
        <f t="shared" si="19"/>
        <v>0</v>
      </c>
    </row>
    <row r="202" spans="25:44">
      <c r="Y202" t="str">
        <f>IF('07 - EVIDENCE &amp; ASSURANCE'!A24&lt;&gt;"",IF('07 - EVIDENCE &amp; ASSURANCE'!F24="","",'07 - EVIDENCE &amp; ASSURANCE'!F24),"")</f>
        <v/>
      </c>
      <c r="Z202" t="str">
        <f>IF('07 - EVIDENCE &amp; ASSURANCE'!A24&lt;&gt;"","Assurance","")</f>
        <v/>
      </c>
      <c r="AA202" t="str">
        <f>IF('07 - EVIDENCE &amp; ASSURANCE'!A24&lt;&gt;"",IF('07 - EVIDENCE &amp; ASSURANCE'!A24="","",'07 - EVIDENCE &amp; ASSURANCE'!A24),"")</f>
        <v/>
      </c>
      <c r="AB202" t="str">
        <f>IF('07 - EVIDENCE &amp; ASSURANCE'!A24&lt;&gt;"",IF('07 - EVIDENCE &amp; ASSURANCE'!B24="","",'07 - EVIDENCE &amp; ASSURANCE'!B24),"")</f>
        <v/>
      </c>
      <c r="AC202" t="str">
        <f>IF('07 - EVIDENCE &amp; ASSURANCE'!A24&lt;&gt;"",IF('07 - EVIDENCE &amp; ASSURANCE'!G24="","",'07 - EVIDENCE &amp; ASSURANCE'!G24),"")</f>
        <v/>
      </c>
      <c r="AD202" t="str">
        <f>IF('07 - EVIDENCE &amp; ASSURANCE'!A24&lt;&gt;"",IF('07 - EVIDENCE &amp; ASSURANCE'!H24="","",'07 - EVIDENCE &amp; ASSURANCE'!H24),"")</f>
        <v/>
      </c>
      <c r="AE202" t="str">
        <f>IF('07 - EVIDENCE &amp; ASSURANCE'!A24&lt;&gt;"",IF('07 - EVIDENCE &amp; ASSURANCE'!D24="","",'07 - EVIDENCE &amp; ASSURANCE'!D24),"")</f>
        <v/>
      </c>
      <c r="AF202" s="17" t="str">
        <f>IF('07 - EVIDENCE &amp; ASSURANCE'!A24&lt;&gt;"",IF('07 - EVIDENCE &amp; ASSURANCE'!E24="","",'07 - EVIDENCE &amp; ASSURANCE'!E24),"")</f>
        <v/>
      </c>
      <c r="AG202" t="str">
        <f>IF('07 - EVIDENCE &amp; ASSURANCE'!A24&lt;&gt;"",IF('07 - EVIDENCE &amp; ASSURANCE'!I24="","",'07 - EVIDENCE &amp; ASSURANCE'!I24),"")</f>
        <v/>
      </c>
      <c r="AH202" t="str">
        <f>IF('07 - EVIDENCE &amp; ASSURANCE'!A24&lt;&gt;"",IF('07 - EVIDENCE &amp; ASSURANCE'!J24="","",'07 - EVIDENCE &amp; ASSURANCE'!J24),"")</f>
        <v/>
      </c>
      <c r="AI202" t="str">
        <f>IF('07 - EVIDENCE &amp; ASSURANCE'!A24&lt;&gt;"",IF('07 - EVIDENCE &amp; ASSURANCE'!C24="","",'07 - EVIDENCE &amp; ASSURANCE'!C24),"")</f>
        <v/>
      </c>
      <c r="AJ202" t="str">
        <f>IF('07 - EVIDENCE &amp; ASSURANCE'!A24&lt;&gt;"","07 - EVIDENCE &amp; ASSURANCE row 24","")</f>
        <v/>
      </c>
      <c r="AK202">
        <f>IF(AND('07 - EVIDENCE &amp; ASSURANCE'!A24&lt;&gt;"",OR('07 - EVIDENCE &amp; ASSURANCE'!C24&lt;&gt;"Closed",'07 - EVIDENCE &amp; ASSURANCE'!G24&lt;&gt;""),OR(AC202&lt;&gt;"",AD202&lt;&gt;"")),IF(Y202="Critical",1,IF(Y202="Review",2,3))*100000000+IF(ISNUMBER(AF202),AF202,99999)*1000+ROW(),999999999999)</f>
        <v>999999999999</v>
      </c>
      <c r="AL202">
        <f t="shared" si="16"/>
        <v>999999999999</v>
      </c>
      <c r="AM202">
        <f t="shared" si="20"/>
        <v>999999999999</v>
      </c>
      <c r="AN202">
        <f t="shared" si="17"/>
        <v>999999999999</v>
      </c>
      <c r="AO202">
        <f t="shared" si="18"/>
        <v>999999999999</v>
      </c>
      <c r="AP202">
        <f t="shared" si="15"/>
        <v>999999999999</v>
      </c>
      <c r="AQ202">
        <f t="shared" si="21"/>
        <v>999999999999</v>
      </c>
      <c r="AR202">
        <f t="shared" si="19"/>
        <v>0</v>
      </c>
    </row>
    <row r="203" spans="25:44">
      <c r="Y203" t="str">
        <f>IF('07 - EVIDENCE &amp; ASSURANCE'!A25&lt;&gt;"",IF('07 - EVIDENCE &amp; ASSURANCE'!F25="","",'07 - EVIDENCE &amp; ASSURANCE'!F25),"")</f>
        <v/>
      </c>
      <c r="Z203" t="str">
        <f>IF('07 - EVIDENCE &amp; ASSURANCE'!A25&lt;&gt;"","Assurance","")</f>
        <v/>
      </c>
      <c r="AA203" t="str">
        <f>IF('07 - EVIDENCE &amp; ASSURANCE'!A25&lt;&gt;"",IF('07 - EVIDENCE &amp; ASSURANCE'!A25="","",'07 - EVIDENCE &amp; ASSURANCE'!A25),"")</f>
        <v/>
      </c>
      <c r="AB203" t="str">
        <f>IF('07 - EVIDENCE &amp; ASSURANCE'!A25&lt;&gt;"",IF('07 - EVIDENCE &amp; ASSURANCE'!B25="","",'07 - EVIDENCE &amp; ASSURANCE'!B25),"")</f>
        <v/>
      </c>
      <c r="AC203" t="str">
        <f>IF('07 - EVIDENCE &amp; ASSURANCE'!A25&lt;&gt;"",IF('07 - EVIDENCE &amp; ASSURANCE'!G25="","",'07 - EVIDENCE &amp; ASSURANCE'!G25),"")</f>
        <v/>
      </c>
      <c r="AD203" t="str">
        <f>IF('07 - EVIDENCE &amp; ASSURANCE'!A25&lt;&gt;"",IF('07 - EVIDENCE &amp; ASSURANCE'!H25="","",'07 - EVIDENCE &amp; ASSURANCE'!H25),"")</f>
        <v/>
      </c>
      <c r="AE203" t="str">
        <f>IF('07 - EVIDENCE &amp; ASSURANCE'!A25&lt;&gt;"",IF('07 - EVIDENCE &amp; ASSURANCE'!D25="","",'07 - EVIDENCE &amp; ASSURANCE'!D25),"")</f>
        <v/>
      </c>
      <c r="AF203" s="17" t="str">
        <f>IF('07 - EVIDENCE &amp; ASSURANCE'!A25&lt;&gt;"",IF('07 - EVIDENCE &amp; ASSURANCE'!E25="","",'07 - EVIDENCE &amp; ASSURANCE'!E25),"")</f>
        <v/>
      </c>
      <c r="AG203" t="str">
        <f>IF('07 - EVIDENCE &amp; ASSURANCE'!A25&lt;&gt;"",IF('07 - EVIDENCE &amp; ASSURANCE'!I25="","",'07 - EVIDENCE &amp; ASSURANCE'!I25),"")</f>
        <v/>
      </c>
      <c r="AH203" t="str">
        <f>IF('07 - EVIDENCE &amp; ASSURANCE'!A25&lt;&gt;"",IF('07 - EVIDENCE &amp; ASSURANCE'!J25="","",'07 - EVIDENCE &amp; ASSURANCE'!J25),"")</f>
        <v/>
      </c>
      <c r="AI203" t="str">
        <f>IF('07 - EVIDENCE &amp; ASSURANCE'!A25&lt;&gt;"",IF('07 - EVIDENCE &amp; ASSURANCE'!C25="","",'07 - EVIDENCE &amp; ASSURANCE'!C25),"")</f>
        <v/>
      </c>
      <c r="AJ203" t="str">
        <f>IF('07 - EVIDENCE &amp; ASSURANCE'!A25&lt;&gt;"","07 - EVIDENCE &amp; ASSURANCE row 25","")</f>
        <v/>
      </c>
      <c r="AK203">
        <f>IF(AND('07 - EVIDENCE &amp; ASSURANCE'!A25&lt;&gt;"",OR('07 - EVIDENCE &amp; ASSURANCE'!C25&lt;&gt;"Closed",'07 - EVIDENCE &amp; ASSURANCE'!G25&lt;&gt;""),OR(AC203&lt;&gt;"",AD203&lt;&gt;"")),IF(Y203="Critical",1,IF(Y203="Review",2,3))*100000000+IF(ISNUMBER(AF203),AF203,99999)*1000+ROW(),999999999999)</f>
        <v>999999999999</v>
      </c>
      <c r="AL203">
        <f t="shared" si="16"/>
        <v>999999999999</v>
      </c>
      <c r="AM203">
        <f t="shared" si="20"/>
        <v>999999999999</v>
      </c>
      <c r="AN203">
        <f t="shared" si="17"/>
        <v>999999999999</v>
      </c>
      <c r="AO203">
        <f t="shared" si="18"/>
        <v>999999999999</v>
      </c>
      <c r="AP203">
        <f t="shared" si="15"/>
        <v>999999999999</v>
      </c>
      <c r="AQ203">
        <f t="shared" si="21"/>
        <v>999999999999</v>
      </c>
      <c r="AR203">
        <f t="shared" si="19"/>
        <v>0</v>
      </c>
    </row>
    <row r="204" spans="25:44">
      <c r="Y204" t="str">
        <f>IF('07 - EVIDENCE &amp; ASSURANCE'!A26&lt;&gt;"",IF('07 - EVIDENCE &amp; ASSURANCE'!F26="","",'07 - EVIDENCE &amp; ASSURANCE'!F26),"")</f>
        <v/>
      </c>
      <c r="Z204" t="str">
        <f>IF('07 - EVIDENCE &amp; ASSURANCE'!A26&lt;&gt;"","Assurance","")</f>
        <v/>
      </c>
      <c r="AA204" t="str">
        <f>IF('07 - EVIDENCE &amp; ASSURANCE'!A26&lt;&gt;"",IF('07 - EVIDENCE &amp; ASSURANCE'!A26="","",'07 - EVIDENCE &amp; ASSURANCE'!A26),"")</f>
        <v/>
      </c>
      <c r="AB204" t="str">
        <f>IF('07 - EVIDENCE &amp; ASSURANCE'!A26&lt;&gt;"",IF('07 - EVIDENCE &amp; ASSURANCE'!B26="","",'07 - EVIDENCE &amp; ASSURANCE'!B26),"")</f>
        <v/>
      </c>
      <c r="AC204" t="str">
        <f>IF('07 - EVIDENCE &amp; ASSURANCE'!A26&lt;&gt;"",IF('07 - EVIDENCE &amp; ASSURANCE'!G26="","",'07 - EVIDENCE &amp; ASSURANCE'!G26),"")</f>
        <v/>
      </c>
      <c r="AD204" t="str">
        <f>IF('07 - EVIDENCE &amp; ASSURANCE'!A26&lt;&gt;"",IF('07 - EVIDENCE &amp; ASSURANCE'!H26="","",'07 - EVIDENCE &amp; ASSURANCE'!H26),"")</f>
        <v/>
      </c>
      <c r="AE204" t="str">
        <f>IF('07 - EVIDENCE &amp; ASSURANCE'!A26&lt;&gt;"",IF('07 - EVIDENCE &amp; ASSURANCE'!D26="","",'07 - EVIDENCE &amp; ASSURANCE'!D26),"")</f>
        <v/>
      </c>
      <c r="AF204" s="17" t="str">
        <f>IF('07 - EVIDENCE &amp; ASSURANCE'!A26&lt;&gt;"",IF('07 - EVIDENCE &amp; ASSURANCE'!E26="","",'07 - EVIDENCE &amp; ASSURANCE'!E26),"")</f>
        <v/>
      </c>
      <c r="AG204" t="str">
        <f>IF('07 - EVIDENCE &amp; ASSURANCE'!A26&lt;&gt;"",IF('07 - EVIDENCE &amp; ASSURANCE'!I26="","",'07 - EVIDENCE &amp; ASSURANCE'!I26),"")</f>
        <v/>
      </c>
      <c r="AH204" t="str">
        <f>IF('07 - EVIDENCE &amp; ASSURANCE'!A26&lt;&gt;"",IF('07 - EVIDENCE &amp; ASSURANCE'!J26="","",'07 - EVIDENCE &amp; ASSURANCE'!J26),"")</f>
        <v/>
      </c>
      <c r="AI204" t="str">
        <f>IF('07 - EVIDENCE &amp; ASSURANCE'!A26&lt;&gt;"",IF('07 - EVIDENCE &amp; ASSURANCE'!C26="","",'07 - EVIDENCE &amp; ASSURANCE'!C26),"")</f>
        <v/>
      </c>
      <c r="AJ204" t="str">
        <f>IF('07 - EVIDENCE &amp; ASSURANCE'!A26&lt;&gt;"","07 - EVIDENCE &amp; ASSURANCE row 26","")</f>
        <v/>
      </c>
      <c r="AK204">
        <f>IF(AND('07 - EVIDENCE &amp; ASSURANCE'!A26&lt;&gt;"",OR('07 - EVIDENCE &amp; ASSURANCE'!C26&lt;&gt;"Closed",'07 - EVIDENCE &amp; ASSURANCE'!G26&lt;&gt;""),OR(AC204&lt;&gt;"",AD204&lt;&gt;"")),IF(Y204="Critical",1,IF(Y204="Review",2,3))*100000000+IF(ISNUMBER(AF204),AF204,99999)*1000+ROW(),999999999999)</f>
        <v>999999999999</v>
      </c>
      <c r="AL204">
        <f t="shared" si="16"/>
        <v>999999999999</v>
      </c>
      <c r="AM204">
        <f t="shared" si="20"/>
        <v>999999999999</v>
      </c>
      <c r="AN204">
        <f t="shared" si="17"/>
        <v>999999999999</v>
      </c>
      <c r="AO204">
        <f t="shared" si="18"/>
        <v>999999999999</v>
      </c>
      <c r="AP204">
        <f t="shared" si="15"/>
        <v>999999999999</v>
      </c>
      <c r="AQ204">
        <f t="shared" si="21"/>
        <v>999999999999</v>
      </c>
      <c r="AR204">
        <f t="shared" si="19"/>
        <v>0</v>
      </c>
    </row>
    <row r="205" spans="25:44">
      <c r="Y205" t="str">
        <f>IF('07 - EVIDENCE &amp; ASSURANCE'!A27&lt;&gt;"",IF('07 - EVIDENCE &amp; ASSURANCE'!F27="","",'07 - EVIDENCE &amp; ASSURANCE'!F27),"")</f>
        <v/>
      </c>
      <c r="Z205" t="str">
        <f>IF('07 - EVIDENCE &amp; ASSURANCE'!A27&lt;&gt;"","Assurance","")</f>
        <v/>
      </c>
      <c r="AA205" t="str">
        <f>IF('07 - EVIDENCE &amp; ASSURANCE'!A27&lt;&gt;"",IF('07 - EVIDENCE &amp; ASSURANCE'!A27="","",'07 - EVIDENCE &amp; ASSURANCE'!A27),"")</f>
        <v/>
      </c>
      <c r="AB205" t="str">
        <f>IF('07 - EVIDENCE &amp; ASSURANCE'!A27&lt;&gt;"",IF('07 - EVIDENCE &amp; ASSURANCE'!B27="","",'07 - EVIDENCE &amp; ASSURANCE'!B27),"")</f>
        <v/>
      </c>
      <c r="AC205" t="str">
        <f>IF('07 - EVIDENCE &amp; ASSURANCE'!A27&lt;&gt;"",IF('07 - EVIDENCE &amp; ASSURANCE'!G27="","",'07 - EVIDENCE &amp; ASSURANCE'!G27),"")</f>
        <v/>
      </c>
      <c r="AD205" t="str">
        <f>IF('07 - EVIDENCE &amp; ASSURANCE'!A27&lt;&gt;"",IF('07 - EVIDENCE &amp; ASSURANCE'!H27="","",'07 - EVIDENCE &amp; ASSURANCE'!H27),"")</f>
        <v/>
      </c>
      <c r="AE205" t="str">
        <f>IF('07 - EVIDENCE &amp; ASSURANCE'!A27&lt;&gt;"",IF('07 - EVIDENCE &amp; ASSURANCE'!D27="","",'07 - EVIDENCE &amp; ASSURANCE'!D27),"")</f>
        <v/>
      </c>
      <c r="AF205" s="17" t="str">
        <f>IF('07 - EVIDENCE &amp; ASSURANCE'!A27&lt;&gt;"",IF('07 - EVIDENCE &amp; ASSURANCE'!E27="","",'07 - EVIDENCE &amp; ASSURANCE'!E27),"")</f>
        <v/>
      </c>
      <c r="AG205" t="str">
        <f>IF('07 - EVIDENCE &amp; ASSURANCE'!A27&lt;&gt;"",IF('07 - EVIDENCE &amp; ASSURANCE'!I27="","",'07 - EVIDENCE &amp; ASSURANCE'!I27),"")</f>
        <v/>
      </c>
      <c r="AH205" t="str">
        <f>IF('07 - EVIDENCE &amp; ASSURANCE'!A27&lt;&gt;"",IF('07 - EVIDENCE &amp; ASSURANCE'!J27="","",'07 - EVIDENCE &amp; ASSURANCE'!J27),"")</f>
        <v/>
      </c>
      <c r="AI205" t="str">
        <f>IF('07 - EVIDENCE &amp; ASSURANCE'!A27&lt;&gt;"",IF('07 - EVIDENCE &amp; ASSURANCE'!C27="","",'07 - EVIDENCE &amp; ASSURANCE'!C27),"")</f>
        <v/>
      </c>
      <c r="AJ205" t="str">
        <f>IF('07 - EVIDENCE &amp; ASSURANCE'!A27&lt;&gt;"","07 - EVIDENCE &amp; ASSURANCE row 27","")</f>
        <v/>
      </c>
      <c r="AK205">
        <f>IF(AND('07 - EVIDENCE &amp; ASSURANCE'!A27&lt;&gt;"",OR('07 - EVIDENCE &amp; ASSURANCE'!C27&lt;&gt;"Closed",'07 - EVIDENCE &amp; ASSURANCE'!G27&lt;&gt;""),OR(AC205&lt;&gt;"",AD205&lt;&gt;"")),IF(Y205="Critical",1,IF(Y205="Review",2,3))*100000000+IF(ISNUMBER(AF205),AF205,99999)*1000+ROW(),999999999999)</f>
        <v>999999999999</v>
      </c>
      <c r="AL205">
        <f t="shared" si="16"/>
        <v>999999999999</v>
      </c>
      <c r="AM205">
        <f t="shared" si="20"/>
        <v>999999999999</v>
      </c>
      <c r="AN205">
        <f t="shared" si="17"/>
        <v>999999999999</v>
      </c>
      <c r="AO205">
        <f t="shared" si="18"/>
        <v>999999999999</v>
      </c>
      <c r="AP205">
        <f t="shared" si="15"/>
        <v>999999999999</v>
      </c>
      <c r="AQ205">
        <f t="shared" si="21"/>
        <v>999999999999</v>
      </c>
      <c r="AR205">
        <f t="shared" si="19"/>
        <v>0</v>
      </c>
    </row>
    <row r="206" spans="25:44">
      <c r="Y206" t="str">
        <f>IF('07 - EVIDENCE &amp; ASSURANCE'!A28&lt;&gt;"",IF('07 - EVIDENCE &amp; ASSURANCE'!F28="","",'07 - EVIDENCE &amp; ASSURANCE'!F28),"")</f>
        <v/>
      </c>
      <c r="Z206" t="str">
        <f>IF('07 - EVIDENCE &amp; ASSURANCE'!A28&lt;&gt;"","Assurance","")</f>
        <v/>
      </c>
      <c r="AA206" t="str">
        <f>IF('07 - EVIDENCE &amp; ASSURANCE'!A28&lt;&gt;"",IF('07 - EVIDENCE &amp; ASSURANCE'!A28="","",'07 - EVIDENCE &amp; ASSURANCE'!A28),"")</f>
        <v/>
      </c>
      <c r="AB206" t="str">
        <f>IF('07 - EVIDENCE &amp; ASSURANCE'!A28&lt;&gt;"",IF('07 - EVIDENCE &amp; ASSURANCE'!B28="","",'07 - EVIDENCE &amp; ASSURANCE'!B28),"")</f>
        <v/>
      </c>
      <c r="AC206" t="str">
        <f>IF('07 - EVIDENCE &amp; ASSURANCE'!A28&lt;&gt;"",IF('07 - EVIDENCE &amp; ASSURANCE'!G28="","",'07 - EVIDENCE &amp; ASSURANCE'!G28),"")</f>
        <v/>
      </c>
      <c r="AD206" t="str">
        <f>IF('07 - EVIDENCE &amp; ASSURANCE'!A28&lt;&gt;"",IF('07 - EVIDENCE &amp; ASSURANCE'!H28="","",'07 - EVIDENCE &amp; ASSURANCE'!H28),"")</f>
        <v/>
      </c>
      <c r="AE206" t="str">
        <f>IF('07 - EVIDENCE &amp; ASSURANCE'!A28&lt;&gt;"",IF('07 - EVIDENCE &amp; ASSURANCE'!D28="","",'07 - EVIDENCE &amp; ASSURANCE'!D28),"")</f>
        <v/>
      </c>
      <c r="AF206" s="17" t="str">
        <f>IF('07 - EVIDENCE &amp; ASSURANCE'!A28&lt;&gt;"",IF('07 - EVIDENCE &amp; ASSURANCE'!E28="","",'07 - EVIDENCE &amp; ASSURANCE'!E28),"")</f>
        <v/>
      </c>
      <c r="AG206" t="str">
        <f>IF('07 - EVIDENCE &amp; ASSURANCE'!A28&lt;&gt;"",IF('07 - EVIDENCE &amp; ASSURANCE'!I28="","",'07 - EVIDENCE &amp; ASSURANCE'!I28),"")</f>
        <v/>
      </c>
      <c r="AH206" t="str">
        <f>IF('07 - EVIDENCE &amp; ASSURANCE'!A28&lt;&gt;"",IF('07 - EVIDENCE &amp; ASSURANCE'!J28="","",'07 - EVIDENCE &amp; ASSURANCE'!J28),"")</f>
        <v/>
      </c>
      <c r="AI206" t="str">
        <f>IF('07 - EVIDENCE &amp; ASSURANCE'!A28&lt;&gt;"",IF('07 - EVIDENCE &amp; ASSURANCE'!C28="","",'07 - EVIDENCE &amp; ASSURANCE'!C28),"")</f>
        <v/>
      </c>
      <c r="AJ206" t="str">
        <f>IF('07 - EVIDENCE &amp; ASSURANCE'!A28&lt;&gt;"","07 - EVIDENCE &amp; ASSURANCE row 28","")</f>
        <v/>
      </c>
      <c r="AK206">
        <f>IF(AND('07 - EVIDENCE &amp; ASSURANCE'!A28&lt;&gt;"",OR('07 - EVIDENCE &amp; ASSURANCE'!C28&lt;&gt;"Closed",'07 - EVIDENCE &amp; ASSURANCE'!G28&lt;&gt;""),OR(AC206&lt;&gt;"",AD206&lt;&gt;"")),IF(Y206="Critical",1,IF(Y206="Review",2,3))*100000000+IF(ISNUMBER(AF206),AF206,99999)*1000+ROW(),999999999999)</f>
        <v>999999999999</v>
      </c>
      <c r="AL206">
        <f t="shared" si="16"/>
        <v>999999999999</v>
      </c>
      <c r="AM206">
        <f t="shared" si="20"/>
        <v>999999999999</v>
      </c>
      <c r="AN206">
        <f t="shared" si="17"/>
        <v>999999999999</v>
      </c>
      <c r="AO206">
        <f t="shared" si="18"/>
        <v>999999999999</v>
      </c>
      <c r="AP206">
        <f t="shared" si="15"/>
        <v>999999999999</v>
      </c>
      <c r="AQ206">
        <f t="shared" si="21"/>
        <v>999999999999</v>
      </c>
      <c r="AR206">
        <f t="shared" si="19"/>
        <v>0</v>
      </c>
    </row>
    <row r="207" spans="25:44">
      <c r="Y207" t="str">
        <f>IF('07 - EVIDENCE &amp; ASSURANCE'!A29&lt;&gt;"",IF('07 - EVIDENCE &amp; ASSURANCE'!F29="","",'07 - EVIDENCE &amp; ASSURANCE'!F29),"")</f>
        <v/>
      </c>
      <c r="Z207" t="str">
        <f>IF('07 - EVIDENCE &amp; ASSURANCE'!A29&lt;&gt;"","Assurance","")</f>
        <v/>
      </c>
      <c r="AA207" t="str">
        <f>IF('07 - EVIDENCE &amp; ASSURANCE'!A29&lt;&gt;"",IF('07 - EVIDENCE &amp; ASSURANCE'!A29="","",'07 - EVIDENCE &amp; ASSURANCE'!A29),"")</f>
        <v/>
      </c>
      <c r="AB207" t="str">
        <f>IF('07 - EVIDENCE &amp; ASSURANCE'!A29&lt;&gt;"",IF('07 - EVIDENCE &amp; ASSURANCE'!B29="","",'07 - EVIDENCE &amp; ASSURANCE'!B29),"")</f>
        <v/>
      </c>
      <c r="AC207" t="str">
        <f>IF('07 - EVIDENCE &amp; ASSURANCE'!A29&lt;&gt;"",IF('07 - EVIDENCE &amp; ASSURANCE'!G29="","",'07 - EVIDENCE &amp; ASSURANCE'!G29),"")</f>
        <v/>
      </c>
      <c r="AD207" t="str">
        <f>IF('07 - EVIDENCE &amp; ASSURANCE'!A29&lt;&gt;"",IF('07 - EVIDENCE &amp; ASSURANCE'!H29="","",'07 - EVIDENCE &amp; ASSURANCE'!H29),"")</f>
        <v/>
      </c>
      <c r="AE207" t="str">
        <f>IF('07 - EVIDENCE &amp; ASSURANCE'!A29&lt;&gt;"",IF('07 - EVIDENCE &amp; ASSURANCE'!D29="","",'07 - EVIDENCE &amp; ASSURANCE'!D29),"")</f>
        <v/>
      </c>
      <c r="AF207" s="17" t="str">
        <f>IF('07 - EVIDENCE &amp; ASSURANCE'!A29&lt;&gt;"",IF('07 - EVIDENCE &amp; ASSURANCE'!E29="","",'07 - EVIDENCE &amp; ASSURANCE'!E29),"")</f>
        <v/>
      </c>
      <c r="AG207" t="str">
        <f>IF('07 - EVIDENCE &amp; ASSURANCE'!A29&lt;&gt;"",IF('07 - EVIDENCE &amp; ASSURANCE'!I29="","",'07 - EVIDENCE &amp; ASSURANCE'!I29),"")</f>
        <v/>
      </c>
      <c r="AH207" t="str">
        <f>IF('07 - EVIDENCE &amp; ASSURANCE'!A29&lt;&gt;"",IF('07 - EVIDENCE &amp; ASSURANCE'!J29="","",'07 - EVIDENCE &amp; ASSURANCE'!J29),"")</f>
        <v/>
      </c>
      <c r="AI207" t="str">
        <f>IF('07 - EVIDENCE &amp; ASSURANCE'!A29&lt;&gt;"",IF('07 - EVIDENCE &amp; ASSURANCE'!C29="","",'07 - EVIDENCE &amp; ASSURANCE'!C29),"")</f>
        <v/>
      </c>
      <c r="AJ207" t="str">
        <f>IF('07 - EVIDENCE &amp; ASSURANCE'!A29&lt;&gt;"","07 - EVIDENCE &amp; ASSURANCE row 29","")</f>
        <v/>
      </c>
      <c r="AK207">
        <f>IF(AND('07 - EVIDENCE &amp; ASSURANCE'!A29&lt;&gt;"",OR('07 - EVIDENCE &amp; ASSURANCE'!C29&lt;&gt;"Closed",'07 - EVIDENCE &amp; ASSURANCE'!G29&lt;&gt;""),OR(AC207&lt;&gt;"",AD207&lt;&gt;"")),IF(Y207="Critical",1,IF(Y207="Review",2,3))*100000000+IF(ISNUMBER(AF207),AF207,99999)*1000+ROW(),999999999999)</f>
        <v>999999999999</v>
      </c>
      <c r="AL207">
        <f t="shared" si="16"/>
        <v>999999999999</v>
      </c>
      <c r="AM207">
        <f t="shared" si="20"/>
        <v>999999999999</v>
      </c>
      <c r="AN207">
        <f t="shared" si="17"/>
        <v>999999999999</v>
      </c>
      <c r="AO207">
        <f t="shared" si="18"/>
        <v>999999999999</v>
      </c>
      <c r="AP207">
        <f t="shared" si="15"/>
        <v>999999999999</v>
      </c>
      <c r="AQ207">
        <f t="shared" si="21"/>
        <v>999999999999</v>
      </c>
      <c r="AR207">
        <f t="shared" si="19"/>
        <v>0</v>
      </c>
    </row>
    <row r="208" spans="25:44">
      <c r="Y208" t="str">
        <f>IF('07 - EVIDENCE &amp; ASSURANCE'!A30&lt;&gt;"",IF('07 - EVIDENCE &amp; ASSURANCE'!F30="","",'07 - EVIDENCE &amp; ASSURANCE'!F30),"")</f>
        <v/>
      </c>
      <c r="Z208" t="str">
        <f>IF('07 - EVIDENCE &amp; ASSURANCE'!A30&lt;&gt;"","Assurance","")</f>
        <v/>
      </c>
      <c r="AA208" t="str">
        <f>IF('07 - EVIDENCE &amp; ASSURANCE'!A30&lt;&gt;"",IF('07 - EVIDENCE &amp; ASSURANCE'!A30="","",'07 - EVIDENCE &amp; ASSURANCE'!A30),"")</f>
        <v/>
      </c>
      <c r="AB208" t="str">
        <f>IF('07 - EVIDENCE &amp; ASSURANCE'!A30&lt;&gt;"",IF('07 - EVIDENCE &amp; ASSURANCE'!B30="","",'07 - EVIDENCE &amp; ASSURANCE'!B30),"")</f>
        <v/>
      </c>
      <c r="AC208" t="str">
        <f>IF('07 - EVIDENCE &amp; ASSURANCE'!A30&lt;&gt;"",IF('07 - EVIDENCE &amp; ASSURANCE'!G30="","",'07 - EVIDENCE &amp; ASSURANCE'!G30),"")</f>
        <v/>
      </c>
      <c r="AD208" t="str">
        <f>IF('07 - EVIDENCE &amp; ASSURANCE'!A30&lt;&gt;"",IF('07 - EVIDENCE &amp; ASSURANCE'!H30="","",'07 - EVIDENCE &amp; ASSURANCE'!H30),"")</f>
        <v/>
      </c>
      <c r="AE208" t="str">
        <f>IF('07 - EVIDENCE &amp; ASSURANCE'!A30&lt;&gt;"",IF('07 - EVIDENCE &amp; ASSURANCE'!D30="","",'07 - EVIDENCE &amp; ASSURANCE'!D30),"")</f>
        <v/>
      </c>
      <c r="AF208" s="17" t="str">
        <f>IF('07 - EVIDENCE &amp; ASSURANCE'!A30&lt;&gt;"",IF('07 - EVIDENCE &amp; ASSURANCE'!E30="","",'07 - EVIDENCE &amp; ASSURANCE'!E30),"")</f>
        <v/>
      </c>
      <c r="AG208" t="str">
        <f>IF('07 - EVIDENCE &amp; ASSURANCE'!A30&lt;&gt;"",IF('07 - EVIDENCE &amp; ASSURANCE'!I30="","",'07 - EVIDENCE &amp; ASSURANCE'!I30),"")</f>
        <v/>
      </c>
      <c r="AH208" t="str">
        <f>IF('07 - EVIDENCE &amp; ASSURANCE'!A30&lt;&gt;"",IF('07 - EVIDENCE &amp; ASSURANCE'!J30="","",'07 - EVIDENCE &amp; ASSURANCE'!J30),"")</f>
        <v/>
      </c>
      <c r="AI208" t="str">
        <f>IF('07 - EVIDENCE &amp; ASSURANCE'!A30&lt;&gt;"",IF('07 - EVIDENCE &amp; ASSURANCE'!C30="","",'07 - EVIDENCE &amp; ASSURANCE'!C30),"")</f>
        <v/>
      </c>
      <c r="AJ208" t="str">
        <f>IF('07 - EVIDENCE &amp; ASSURANCE'!A30&lt;&gt;"","07 - EVIDENCE &amp; ASSURANCE row 30","")</f>
        <v/>
      </c>
      <c r="AK208">
        <f>IF(AND('07 - EVIDENCE &amp; ASSURANCE'!A30&lt;&gt;"",OR('07 - EVIDENCE &amp; ASSURANCE'!C30&lt;&gt;"Closed",'07 - EVIDENCE &amp; ASSURANCE'!G30&lt;&gt;""),OR(AC208&lt;&gt;"",AD208&lt;&gt;"")),IF(Y208="Critical",1,IF(Y208="Review",2,3))*100000000+IF(ISNUMBER(AF208),AF208,99999)*1000+ROW(),999999999999)</f>
        <v>999999999999</v>
      </c>
      <c r="AL208">
        <f t="shared" si="16"/>
        <v>999999999999</v>
      </c>
      <c r="AM208">
        <f t="shared" si="20"/>
        <v>999999999999</v>
      </c>
      <c r="AN208">
        <f t="shared" si="17"/>
        <v>999999999999</v>
      </c>
      <c r="AO208">
        <f t="shared" si="18"/>
        <v>999999999999</v>
      </c>
      <c r="AP208">
        <f t="shared" si="15"/>
        <v>999999999999</v>
      </c>
      <c r="AQ208">
        <f t="shared" si="21"/>
        <v>999999999999</v>
      </c>
      <c r="AR208">
        <f t="shared" si="19"/>
        <v>0</v>
      </c>
    </row>
    <row r="209" spans="25:44">
      <c r="Y209" t="str">
        <f>IF('07 - EVIDENCE &amp; ASSURANCE'!A31&lt;&gt;"",IF('07 - EVIDENCE &amp; ASSURANCE'!F31="","",'07 - EVIDENCE &amp; ASSURANCE'!F31),"")</f>
        <v/>
      </c>
      <c r="Z209" t="str">
        <f>IF('07 - EVIDENCE &amp; ASSURANCE'!A31&lt;&gt;"","Assurance","")</f>
        <v/>
      </c>
      <c r="AA209" t="str">
        <f>IF('07 - EVIDENCE &amp; ASSURANCE'!A31&lt;&gt;"",IF('07 - EVIDENCE &amp; ASSURANCE'!A31="","",'07 - EVIDENCE &amp; ASSURANCE'!A31),"")</f>
        <v/>
      </c>
      <c r="AB209" t="str">
        <f>IF('07 - EVIDENCE &amp; ASSURANCE'!A31&lt;&gt;"",IF('07 - EVIDENCE &amp; ASSURANCE'!B31="","",'07 - EVIDENCE &amp; ASSURANCE'!B31),"")</f>
        <v/>
      </c>
      <c r="AC209" t="str">
        <f>IF('07 - EVIDENCE &amp; ASSURANCE'!A31&lt;&gt;"",IF('07 - EVIDENCE &amp; ASSURANCE'!G31="","",'07 - EVIDENCE &amp; ASSURANCE'!G31),"")</f>
        <v/>
      </c>
      <c r="AD209" t="str">
        <f>IF('07 - EVIDENCE &amp; ASSURANCE'!A31&lt;&gt;"",IF('07 - EVIDENCE &amp; ASSURANCE'!H31="","",'07 - EVIDENCE &amp; ASSURANCE'!H31),"")</f>
        <v/>
      </c>
      <c r="AE209" t="str">
        <f>IF('07 - EVIDENCE &amp; ASSURANCE'!A31&lt;&gt;"",IF('07 - EVIDENCE &amp; ASSURANCE'!D31="","",'07 - EVIDENCE &amp; ASSURANCE'!D31),"")</f>
        <v/>
      </c>
      <c r="AF209" s="17" t="str">
        <f>IF('07 - EVIDENCE &amp; ASSURANCE'!A31&lt;&gt;"",IF('07 - EVIDENCE &amp; ASSURANCE'!E31="","",'07 - EVIDENCE &amp; ASSURANCE'!E31),"")</f>
        <v/>
      </c>
      <c r="AG209" t="str">
        <f>IF('07 - EVIDENCE &amp; ASSURANCE'!A31&lt;&gt;"",IF('07 - EVIDENCE &amp; ASSURANCE'!I31="","",'07 - EVIDENCE &amp; ASSURANCE'!I31),"")</f>
        <v/>
      </c>
      <c r="AH209" t="str">
        <f>IF('07 - EVIDENCE &amp; ASSURANCE'!A31&lt;&gt;"",IF('07 - EVIDENCE &amp; ASSURANCE'!J31="","",'07 - EVIDENCE &amp; ASSURANCE'!J31),"")</f>
        <v/>
      </c>
      <c r="AI209" t="str">
        <f>IF('07 - EVIDENCE &amp; ASSURANCE'!A31&lt;&gt;"",IF('07 - EVIDENCE &amp; ASSURANCE'!C31="","",'07 - EVIDENCE &amp; ASSURANCE'!C31),"")</f>
        <v/>
      </c>
      <c r="AJ209" t="str">
        <f>IF('07 - EVIDENCE &amp; ASSURANCE'!A31&lt;&gt;"","07 - EVIDENCE &amp; ASSURANCE row 31","")</f>
        <v/>
      </c>
      <c r="AK209">
        <f>IF(AND('07 - EVIDENCE &amp; ASSURANCE'!A31&lt;&gt;"",OR('07 - EVIDENCE &amp; ASSURANCE'!C31&lt;&gt;"Closed",'07 - EVIDENCE &amp; ASSURANCE'!G31&lt;&gt;""),OR(AC209&lt;&gt;"",AD209&lt;&gt;"")),IF(Y209="Critical",1,IF(Y209="Review",2,3))*100000000+IF(ISNUMBER(AF209),AF209,99999)*1000+ROW(),999999999999)</f>
        <v>999999999999</v>
      </c>
      <c r="AL209">
        <f t="shared" si="16"/>
        <v>999999999999</v>
      </c>
      <c r="AM209">
        <f t="shared" si="20"/>
        <v>999999999999</v>
      </c>
      <c r="AN209">
        <f t="shared" si="17"/>
        <v>999999999999</v>
      </c>
      <c r="AO209">
        <f t="shared" si="18"/>
        <v>999999999999</v>
      </c>
      <c r="AP209">
        <f t="shared" si="15"/>
        <v>999999999999</v>
      </c>
      <c r="AQ209">
        <f t="shared" si="21"/>
        <v>999999999999</v>
      </c>
      <c r="AR209">
        <f t="shared" si="19"/>
        <v>0</v>
      </c>
    </row>
    <row r="210" spans="25:44">
      <c r="Y210" t="str">
        <f>IF('07 - EVIDENCE &amp; ASSURANCE'!A32&lt;&gt;"",IF('07 - EVIDENCE &amp; ASSURANCE'!F32="","",'07 - EVIDENCE &amp; ASSURANCE'!F32),"")</f>
        <v/>
      </c>
      <c r="Z210" t="str">
        <f>IF('07 - EVIDENCE &amp; ASSURANCE'!A32&lt;&gt;"","Assurance","")</f>
        <v/>
      </c>
      <c r="AA210" t="str">
        <f>IF('07 - EVIDENCE &amp; ASSURANCE'!A32&lt;&gt;"",IF('07 - EVIDENCE &amp; ASSURANCE'!A32="","",'07 - EVIDENCE &amp; ASSURANCE'!A32),"")</f>
        <v/>
      </c>
      <c r="AB210" t="str">
        <f>IF('07 - EVIDENCE &amp; ASSURANCE'!A32&lt;&gt;"",IF('07 - EVIDENCE &amp; ASSURANCE'!B32="","",'07 - EVIDENCE &amp; ASSURANCE'!B32),"")</f>
        <v/>
      </c>
      <c r="AC210" t="str">
        <f>IF('07 - EVIDENCE &amp; ASSURANCE'!A32&lt;&gt;"",IF('07 - EVIDENCE &amp; ASSURANCE'!G32="","",'07 - EVIDENCE &amp; ASSURANCE'!G32),"")</f>
        <v/>
      </c>
      <c r="AD210" t="str">
        <f>IF('07 - EVIDENCE &amp; ASSURANCE'!A32&lt;&gt;"",IF('07 - EVIDENCE &amp; ASSURANCE'!H32="","",'07 - EVIDENCE &amp; ASSURANCE'!H32),"")</f>
        <v/>
      </c>
      <c r="AE210" t="str">
        <f>IF('07 - EVIDENCE &amp; ASSURANCE'!A32&lt;&gt;"",IF('07 - EVIDENCE &amp; ASSURANCE'!D32="","",'07 - EVIDENCE &amp; ASSURANCE'!D32),"")</f>
        <v/>
      </c>
      <c r="AF210" s="17" t="str">
        <f>IF('07 - EVIDENCE &amp; ASSURANCE'!A32&lt;&gt;"",IF('07 - EVIDENCE &amp; ASSURANCE'!E32="","",'07 - EVIDENCE &amp; ASSURANCE'!E32),"")</f>
        <v/>
      </c>
      <c r="AG210" t="str">
        <f>IF('07 - EVIDENCE &amp; ASSURANCE'!A32&lt;&gt;"",IF('07 - EVIDENCE &amp; ASSURANCE'!I32="","",'07 - EVIDENCE &amp; ASSURANCE'!I32),"")</f>
        <v/>
      </c>
      <c r="AH210" t="str">
        <f>IF('07 - EVIDENCE &amp; ASSURANCE'!A32&lt;&gt;"",IF('07 - EVIDENCE &amp; ASSURANCE'!J32="","",'07 - EVIDENCE &amp; ASSURANCE'!J32),"")</f>
        <v/>
      </c>
      <c r="AI210" t="str">
        <f>IF('07 - EVIDENCE &amp; ASSURANCE'!A32&lt;&gt;"",IF('07 - EVIDENCE &amp; ASSURANCE'!C32="","",'07 - EVIDENCE &amp; ASSURANCE'!C32),"")</f>
        <v/>
      </c>
      <c r="AJ210" t="str">
        <f>IF('07 - EVIDENCE &amp; ASSURANCE'!A32&lt;&gt;"","07 - EVIDENCE &amp; ASSURANCE row 32","")</f>
        <v/>
      </c>
      <c r="AK210">
        <f>IF(AND('07 - EVIDENCE &amp; ASSURANCE'!A32&lt;&gt;"",OR('07 - EVIDENCE &amp; ASSURANCE'!C32&lt;&gt;"Closed",'07 - EVIDENCE &amp; ASSURANCE'!G32&lt;&gt;""),OR(AC210&lt;&gt;"",AD210&lt;&gt;"")),IF(Y210="Critical",1,IF(Y210="Review",2,3))*100000000+IF(ISNUMBER(AF210),AF210,99999)*1000+ROW(),999999999999)</f>
        <v>999999999999</v>
      </c>
      <c r="AL210">
        <f t="shared" si="16"/>
        <v>999999999999</v>
      </c>
      <c r="AM210">
        <f t="shared" si="20"/>
        <v>999999999999</v>
      </c>
      <c r="AN210">
        <f t="shared" si="17"/>
        <v>999999999999</v>
      </c>
      <c r="AO210">
        <f t="shared" si="18"/>
        <v>999999999999</v>
      </c>
      <c r="AP210">
        <f t="shared" si="15"/>
        <v>999999999999</v>
      </c>
      <c r="AQ210">
        <f t="shared" si="21"/>
        <v>999999999999</v>
      </c>
      <c r="AR210">
        <f t="shared" si="19"/>
        <v>0</v>
      </c>
    </row>
    <row r="211" spans="25:44">
      <c r="Y211" t="str">
        <f>IF('07 - EVIDENCE &amp; ASSURANCE'!A33&lt;&gt;"",IF('07 - EVIDENCE &amp; ASSURANCE'!F33="","",'07 - EVIDENCE &amp; ASSURANCE'!F33),"")</f>
        <v/>
      </c>
      <c r="Z211" t="str">
        <f>IF('07 - EVIDENCE &amp; ASSURANCE'!A33&lt;&gt;"","Assurance","")</f>
        <v/>
      </c>
      <c r="AA211" t="str">
        <f>IF('07 - EVIDENCE &amp; ASSURANCE'!A33&lt;&gt;"",IF('07 - EVIDENCE &amp; ASSURANCE'!A33="","",'07 - EVIDENCE &amp; ASSURANCE'!A33),"")</f>
        <v/>
      </c>
      <c r="AB211" t="str">
        <f>IF('07 - EVIDENCE &amp; ASSURANCE'!A33&lt;&gt;"",IF('07 - EVIDENCE &amp; ASSURANCE'!B33="","",'07 - EVIDENCE &amp; ASSURANCE'!B33),"")</f>
        <v/>
      </c>
      <c r="AC211" t="str">
        <f>IF('07 - EVIDENCE &amp; ASSURANCE'!A33&lt;&gt;"",IF('07 - EVIDENCE &amp; ASSURANCE'!G33="","",'07 - EVIDENCE &amp; ASSURANCE'!G33),"")</f>
        <v/>
      </c>
      <c r="AD211" t="str">
        <f>IF('07 - EVIDENCE &amp; ASSURANCE'!A33&lt;&gt;"",IF('07 - EVIDENCE &amp; ASSURANCE'!H33="","",'07 - EVIDENCE &amp; ASSURANCE'!H33),"")</f>
        <v/>
      </c>
      <c r="AE211" t="str">
        <f>IF('07 - EVIDENCE &amp; ASSURANCE'!A33&lt;&gt;"",IF('07 - EVIDENCE &amp; ASSURANCE'!D33="","",'07 - EVIDENCE &amp; ASSURANCE'!D33),"")</f>
        <v/>
      </c>
      <c r="AF211" s="17" t="str">
        <f>IF('07 - EVIDENCE &amp; ASSURANCE'!A33&lt;&gt;"",IF('07 - EVIDENCE &amp; ASSURANCE'!E33="","",'07 - EVIDENCE &amp; ASSURANCE'!E33),"")</f>
        <v/>
      </c>
      <c r="AG211" t="str">
        <f>IF('07 - EVIDENCE &amp; ASSURANCE'!A33&lt;&gt;"",IF('07 - EVIDENCE &amp; ASSURANCE'!I33="","",'07 - EVIDENCE &amp; ASSURANCE'!I33),"")</f>
        <v/>
      </c>
      <c r="AH211" t="str">
        <f>IF('07 - EVIDENCE &amp; ASSURANCE'!A33&lt;&gt;"",IF('07 - EVIDENCE &amp; ASSURANCE'!J33="","",'07 - EVIDENCE &amp; ASSURANCE'!J33),"")</f>
        <v/>
      </c>
      <c r="AI211" t="str">
        <f>IF('07 - EVIDENCE &amp; ASSURANCE'!A33&lt;&gt;"",IF('07 - EVIDENCE &amp; ASSURANCE'!C33="","",'07 - EVIDENCE &amp; ASSURANCE'!C33),"")</f>
        <v/>
      </c>
      <c r="AJ211" t="str">
        <f>IF('07 - EVIDENCE &amp; ASSURANCE'!A33&lt;&gt;"","07 - EVIDENCE &amp; ASSURANCE row 33","")</f>
        <v/>
      </c>
      <c r="AK211">
        <f>IF(AND('07 - EVIDENCE &amp; ASSURANCE'!A33&lt;&gt;"",OR('07 - EVIDENCE &amp; ASSURANCE'!C33&lt;&gt;"Closed",'07 - EVIDENCE &amp; ASSURANCE'!G33&lt;&gt;""),OR(AC211&lt;&gt;"",AD211&lt;&gt;"")),IF(Y211="Critical",1,IF(Y211="Review",2,3))*100000000+IF(ISNUMBER(AF211),AF211,99999)*1000+ROW(),999999999999)</f>
        <v>999999999999</v>
      </c>
      <c r="AL211">
        <f t="shared" si="16"/>
        <v>999999999999</v>
      </c>
      <c r="AM211">
        <f t="shared" si="20"/>
        <v>999999999999</v>
      </c>
      <c r="AN211">
        <f t="shared" si="17"/>
        <v>999999999999</v>
      </c>
      <c r="AO211">
        <f t="shared" si="18"/>
        <v>999999999999</v>
      </c>
      <c r="AP211">
        <f t="shared" si="15"/>
        <v>999999999999</v>
      </c>
      <c r="AQ211">
        <f t="shared" si="21"/>
        <v>999999999999</v>
      </c>
      <c r="AR211">
        <f t="shared" si="19"/>
        <v>0</v>
      </c>
    </row>
    <row r="212" spans="25:44">
      <c r="Y212" t="str">
        <f>IF('07 - EVIDENCE &amp; ASSURANCE'!A34&lt;&gt;"",IF('07 - EVIDENCE &amp; ASSURANCE'!F34="","",'07 - EVIDENCE &amp; ASSURANCE'!F34),"")</f>
        <v/>
      </c>
      <c r="Z212" t="str">
        <f>IF('07 - EVIDENCE &amp; ASSURANCE'!A34&lt;&gt;"","Assurance","")</f>
        <v/>
      </c>
      <c r="AA212" t="str">
        <f>IF('07 - EVIDENCE &amp; ASSURANCE'!A34&lt;&gt;"",IF('07 - EVIDENCE &amp; ASSURANCE'!A34="","",'07 - EVIDENCE &amp; ASSURANCE'!A34),"")</f>
        <v/>
      </c>
      <c r="AB212" t="str">
        <f>IF('07 - EVIDENCE &amp; ASSURANCE'!A34&lt;&gt;"",IF('07 - EVIDENCE &amp; ASSURANCE'!B34="","",'07 - EVIDENCE &amp; ASSURANCE'!B34),"")</f>
        <v/>
      </c>
      <c r="AC212" t="str">
        <f>IF('07 - EVIDENCE &amp; ASSURANCE'!A34&lt;&gt;"",IF('07 - EVIDENCE &amp; ASSURANCE'!G34="","",'07 - EVIDENCE &amp; ASSURANCE'!G34),"")</f>
        <v/>
      </c>
      <c r="AD212" t="str">
        <f>IF('07 - EVIDENCE &amp; ASSURANCE'!A34&lt;&gt;"",IF('07 - EVIDENCE &amp; ASSURANCE'!H34="","",'07 - EVIDENCE &amp; ASSURANCE'!H34),"")</f>
        <v/>
      </c>
      <c r="AE212" t="str">
        <f>IF('07 - EVIDENCE &amp; ASSURANCE'!A34&lt;&gt;"",IF('07 - EVIDENCE &amp; ASSURANCE'!D34="","",'07 - EVIDENCE &amp; ASSURANCE'!D34),"")</f>
        <v/>
      </c>
      <c r="AF212" s="17" t="str">
        <f>IF('07 - EVIDENCE &amp; ASSURANCE'!A34&lt;&gt;"",IF('07 - EVIDENCE &amp; ASSURANCE'!E34="","",'07 - EVIDENCE &amp; ASSURANCE'!E34),"")</f>
        <v/>
      </c>
      <c r="AG212" t="str">
        <f>IF('07 - EVIDENCE &amp; ASSURANCE'!A34&lt;&gt;"",IF('07 - EVIDENCE &amp; ASSURANCE'!I34="","",'07 - EVIDENCE &amp; ASSURANCE'!I34),"")</f>
        <v/>
      </c>
      <c r="AH212" t="str">
        <f>IF('07 - EVIDENCE &amp; ASSURANCE'!A34&lt;&gt;"",IF('07 - EVIDENCE &amp; ASSURANCE'!J34="","",'07 - EVIDENCE &amp; ASSURANCE'!J34),"")</f>
        <v/>
      </c>
      <c r="AI212" t="str">
        <f>IF('07 - EVIDENCE &amp; ASSURANCE'!A34&lt;&gt;"",IF('07 - EVIDENCE &amp; ASSURANCE'!C34="","",'07 - EVIDENCE &amp; ASSURANCE'!C34),"")</f>
        <v/>
      </c>
      <c r="AJ212" t="str">
        <f>IF('07 - EVIDENCE &amp; ASSURANCE'!A34&lt;&gt;"","07 - EVIDENCE &amp; ASSURANCE row 34","")</f>
        <v/>
      </c>
      <c r="AK212">
        <f>IF(AND('07 - EVIDENCE &amp; ASSURANCE'!A34&lt;&gt;"",OR('07 - EVIDENCE &amp; ASSURANCE'!C34&lt;&gt;"Closed",'07 - EVIDENCE &amp; ASSURANCE'!G34&lt;&gt;""),OR(AC212&lt;&gt;"",AD212&lt;&gt;"")),IF(Y212="Critical",1,IF(Y212="Review",2,3))*100000000+IF(ISNUMBER(AF212),AF212,99999)*1000+ROW(),999999999999)</f>
        <v>999999999999</v>
      </c>
      <c r="AL212">
        <f t="shared" si="16"/>
        <v>999999999999</v>
      </c>
      <c r="AM212">
        <f t="shared" si="20"/>
        <v>999999999999</v>
      </c>
      <c r="AN212">
        <f t="shared" si="17"/>
        <v>999999999999</v>
      </c>
      <c r="AO212">
        <f t="shared" si="18"/>
        <v>999999999999</v>
      </c>
      <c r="AP212">
        <f t="shared" si="15"/>
        <v>999999999999</v>
      </c>
      <c r="AQ212">
        <f t="shared" si="21"/>
        <v>999999999999</v>
      </c>
      <c r="AR212">
        <f t="shared" si="19"/>
        <v>0</v>
      </c>
    </row>
    <row r="213" spans="25:44">
      <c r="Y213" t="str">
        <f>IF('07 - EVIDENCE &amp; ASSURANCE'!A35&lt;&gt;"",IF('07 - EVIDENCE &amp; ASSURANCE'!F35="","",'07 - EVIDENCE &amp; ASSURANCE'!F35),"")</f>
        <v/>
      </c>
      <c r="Z213" t="str">
        <f>IF('07 - EVIDENCE &amp; ASSURANCE'!A35&lt;&gt;"","Assurance","")</f>
        <v/>
      </c>
      <c r="AA213" t="str">
        <f>IF('07 - EVIDENCE &amp; ASSURANCE'!A35&lt;&gt;"",IF('07 - EVIDENCE &amp; ASSURANCE'!A35="","",'07 - EVIDENCE &amp; ASSURANCE'!A35),"")</f>
        <v/>
      </c>
      <c r="AB213" t="str">
        <f>IF('07 - EVIDENCE &amp; ASSURANCE'!A35&lt;&gt;"",IF('07 - EVIDENCE &amp; ASSURANCE'!B35="","",'07 - EVIDENCE &amp; ASSURANCE'!B35),"")</f>
        <v/>
      </c>
      <c r="AC213" t="str">
        <f>IF('07 - EVIDENCE &amp; ASSURANCE'!A35&lt;&gt;"",IF('07 - EVIDENCE &amp; ASSURANCE'!G35="","",'07 - EVIDENCE &amp; ASSURANCE'!G35),"")</f>
        <v/>
      </c>
      <c r="AD213" t="str">
        <f>IF('07 - EVIDENCE &amp; ASSURANCE'!A35&lt;&gt;"",IF('07 - EVIDENCE &amp; ASSURANCE'!H35="","",'07 - EVIDENCE &amp; ASSURANCE'!H35),"")</f>
        <v/>
      </c>
      <c r="AE213" t="str">
        <f>IF('07 - EVIDENCE &amp; ASSURANCE'!A35&lt;&gt;"",IF('07 - EVIDENCE &amp; ASSURANCE'!D35="","",'07 - EVIDENCE &amp; ASSURANCE'!D35),"")</f>
        <v/>
      </c>
      <c r="AF213" s="17" t="str">
        <f>IF('07 - EVIDENCE &amp; ASSURANCE'!A35&lt;&gt;"",IF('07 - EVIDENCE &amp; ASSURANCE'!E35="","",'07 - EVIDENCE &amp; ASSURANCE'!E35),"")</f>
        <v/>
      </c>
      <c r="AG213" t="str">
        <f>IF('07 - EVIDENCE &amp; ASSURANCE'!A35&lt;&gt;"",IF('07 - EVIDENCE &amp; ASSURANCE'!I35="","",'07 - EVIDENCE &amp; ASSURANCE'!I35),"")</f>
        <v/>
      </c>
      <c r="AH213" t="str">
        <f>IF('07 - EVIDENCE &amp; ASSURANCE'!A35&lt;&gt;"",IF('07 - EVIDENCE &amp; ASSURANCE'!J35="","",'07 - EVIDENCE &amp; ASSURANCE'!J35),"")</f>
        <v/>
      </c>
      <c r="AI213" t="str">
        <f>IF('07 - EVIDENCE &amp; ASSURANCE'!A35&lt;&gt;"",IF('07 - EVIDENCE &amp; ASSURANCE'!C35="","",'07 - EVIDENCE &amp; ASSURANCE'!C35),"")</f>
        <v/>
      </c>
      <c r="AJ213" t="str">
        <f>IF('07 - EVIDENCE &amp; ASSURANCE'!A35&lt;&gt;"","07 - EVIDENCE &amp; ASSURANCE row 35","")</f>
        <v/>
      </c>
      <c r="AK213">
        <f>IF(AND('07 - EVIDENCE &amp; ASSURANCE'!A35&lt;&gt;"",OR('07 - EVIDENCE &amp; ASSURANCE'!C35&lt;&gt;"Closed",'07 - EVIDENCE &amp; ASSURANCE'!G35&lt;&gt;""),OR(AC213&lt;&gt;"",AD213&lt;&gt;"")),IF(Y213="Critical",1,IF(Y213="Review",2,3))*100000000+IF(ISNUMBER(AF213),AF213,99999)*1000+ROW(),999999999999)</f>
        <v>999999999999</v>
      </c>
      <c r="AL213">
        <f t="shared" si="16"/>
        <v>999999999999</v>
      </c>
      <c r="AM213">
        <f t="shared" si="20"/>
        <v>999999999999</v>
      </c>
      <c r="AN213">
        <f t="shared" si="17"/>
        <v>999999999999</v>
      </c>
      <c r="AO213">
        <f t="shared" si="18"/>
        <v>999999999999</v>
      </c>
      <c r="AP213">
        <f t="shared" si="15"/>
        <v>999999999999</v>
      </c>
      <c r="AQ213">
        <f t="shared" si="21"/>
        <v>999999999999</v>
      </c>
      <c r="AR213">
        <f t="shared" si="19"/>
        <v>0</v>
      </c>
    </row>
    <row r="214" spans="25:44">
      <c r="Y214" t="str">
        <f>IF('07 - EVIDENCE &amp; ASSURANCE'!A36&lt;&gt;"",IF('07 - EVIDENCE &amp; ASSURANCE'!F36="","",'07 - EVIDENCE &amp; ASSURANCE'!F36),"")</f>
        <v/>
      </c>
      <c r="Z214" t="str">
        <f>IF('07 - EVIDENCE &amp; ASSURANCE'!A36&lt;&gt;"","Assurance","")</f>
        <v/>
      </c>
      <c r="AA214" t="str">
        <f>IF('07 - EVIDENCE &amp; ASSURANCE'!A36&lt;&gt;"",IF('07 - EVIDENCE &amp; ASSURANCE'!A36="","",'07 - EVIDENCE &amp; ASSURANCE'!A36),"")</f>
        <v/>
      </c>
      <c r="AB214" t="str">
        <f>IF('07 - EVIDENCE &amp; ASSURANCE'!A36&lt;&gt;"",IF('07 - EVIDENCE &amp; ASSURANCE'!B36="","",'07 - EVIDENCE &amp; ASSURANCE'!B36),"")</f>
        <v/>
      </c>
      <c r="AC214" t="str">
        <f>IF('07 - EVIDENCE &amp; ASSURANCE'!A36&lt;&gt;"",IF('07 - EVIDENCE &amp; ASSURANCE'!G36="","",'07 - EVIDENCE &amp; ASSURANCE'!G36),"")</f>
        <v/>
      </c>
      <c r="AD214" t="str">
        <f>IF('07 - EVIDENCE &amp; ASSURANCE'!A36&lt;&gt;"",IF('07 - EVIDENCE &amp; ASSURANCE'!H36="","",'07 - EVIDENCE &amp; ASSURANCE'!H36),"")</f>
        <v/>
      </c>
      <c r="AE214" t="str">
        <f>IF('07 - EVIDENCE &amp; ASSURANCE'!A36&lt;&gt;"",IF('07 - EVIDENCE &amp; ASSURANCE'!D36="","",'07 - EVIDENCE &amp; ASSURANCE'!D36),"")</f>
        <v/>
      </c>
      <c r="AF214" s="17" t="str">
        <f>IF('07 - EVIDENCE &amp; ASSURANCE'!A36&lt;&gt;"",IF('07 - EVIDENCE &amp; ASSURANCE'!E36="","",'07 - EVIDENCE &amp; ASSURANCE'!E36),"")</f>
        <v/>
      </c>
      <c r="AG214" t="str">
        <f>IF('07 - EVIDENCE &amp; ASSURANCE'!A36&lt;&gt;"",IF('07 - EVIDENCE &amp; ASSURANCE'!I36="","",'07 - EVIDENCE &amp; ASSURANCE'!I36),"")</f>
        <v/>
      </c>
      <c r="AH214" t="str">
        <f>IF('07 - EVIDENCE &amp; ASSURANCE'!A36&lt;&gt;"",IF('07 - EVIDENCE &amp; ASSURANCE'!J36="","",'07 - EVIDENCE &amp; ASSURANCE'!J36),"")</f>
        <v/>
      </c>
      <c r="AI214" t="str">
        <f>IF('07 - EVIDENCE &amp; ASSURANCE'!A36&lt;&gt;"",IF('07 - EVIDENCE &amp; ASSURANCE'!C36="","",'07 - EVIDENCE &amp; ASSURANCE'!C36),"")</f>
        <v/>
      </c>
      <c r="AJ214" t="str">
        <f>IF('07 - EVIDENCE &amp; ASSURANCE'!A36&lt;&gt;"","07 - EVIDENCE &amp; ASSURANCE row 36","")</f>
        <v/>
      </c>
      <c r="AK214">
        <f>IF(AND('07 - EVIDENCE &amp; ASSURANCE'!A36&lt;&gt;"",OR('07 - EVIDENCE &amp; ASSURANCE'!C36&lt;&gt;"Closed",'07 - EVIDENCE &amp; ASSURANCE'!G36&lt;&gt;""),OR(AC214&lt;&gt;"",AD214&lt;&gt;"")),IF(Y214="Critical",1,IF(Y214="Review",2,3))*100000000+IF(ISNUMBER(AF214),AF214,99999)*1000+ROW(),999999999999)</f>
        <v>999999999999</v>
      </c>
      <c r="AL214">
        <f t="shared" si="16"/>
        <v>999999999999</v>
      </c>
      <c r="AM214">
        <f t="shared" si="20"/>
        <v>999999999999</v>
      </c>
      <c r="AN214">
        <f t="shared" si="17"/>
        <v>999999999999</v>
      </c>
      <c r="AO214">
        <f t="shared" si="18"/>
        <v>999999999999</v>
      </c>
      <c r="AP214">
        <f t="shared" si="15"/>
        <v>999999999999</v>
      </c>
      <c r="AQ214">
        <f t="shared" si="21"/>
        <v>999999999999</v>
      </c>
      <c r="AR214">
        <f t="shared" si="19"/>
        <v>0</v>
      </c>
    </row>
    <row r="215" spans="25:44">
      <c r="Y215" t="str">
        <f>IF('07 - EVIDENCE &amp; ASSURANCE'!A37&lt;&gt;"",IF('07 - EVIDENCE &amp; ASSURANCE'!F37="","",'07 - EVIDENCE &amp; ASSURANCE'!F37),"")</f>
        <v/>
      </c>
      <c r="Z215" t="str">
        <f>IF('07 - EVIDENCE &amp; ASSURANCE'!A37&lt;&gt;"","Assurance","")</f>
        <v/>
      </c>
      <c r="AA215" t="str">
        <f>IF('07 - EVIDENCE &amp; ASSURANCE'!A37&lt;&gt;"",IF('07 - EVIDENCE &amp; ASSURANCE'!A37="","",'07 - EVIDENCE &amp; ASSURANCE'!A37),"")</f>
        <v/>
      </c>
      <c r="AB215" t="str">
        <f>IF('07 - EVIDENCE &amp; ASSURANCE'!A37&lt;&gt;"",IF('07 - EVIDENCE &amp; ASSURANCE'!B37="","",'07 - EVIDENCE &amp; ASSURANCE'!B37),"")</f>
        <v/>
      </c>
      <c r="AC215" t="str">
        <f>IF('07 - EVIDENCE &amp; ASSURANCE'!A37&lt;&gt;"",IF('07 - EVIDENCE &amp; ASSURANCE'!G37="","",'07 - EVIDENCE &amp; ASSURANCE'!G37),"")</f>
        <v/>
      </c>
      <c r="AD215" t="str">
        <f>IF('07 - EVIDENCE &amp; ASSURANCE'!A37&lt;&gt;"",IF('07 - EVIDENCE &amp; ASSURANCE'!H37="","",'07 - EVIDENCE &amp; ASSURANCE'!H37),"")</f>
        <v/>
      </c>
      <c r="AE215" t="str">
        <f>IF('07 - EVIDENCE &amp; ASSURANCE'!A37&lt;&gt;"",IF('07 - EVIDENCE &amp; ASSURANCE'!D37="","",'07 - EVIDENCE &amp; ASSURANCE'!D37),"")</f>
        <v/>
      </c>
      <c r="AF215" s="17" t="str">
        <f>IF('07 - EVIDENCE &amp; ASSURANCE'!A37&lt;&gt;"",IF('07 - EVIDENCE &amp; ASSURANCE'!E37="","",'07 - EVIDENCE &amp; ASSURANCE'!E37),"")</f>
        <v/>
      </c>
      <c r="AG215" t="str">
        <f>IF('07 - EVIDENCE &amp; ASSURANCE'!A37&lt;&gt;"",IF('07 - EVIDENCE &amp; ASSURANCE'!I37="","",'07 - EVIDENCE &amp; ASSURANCE'!I37),"")</f>
        <v/>
      </c>
      <c r="AH215" t="str">
        <f>IF('07 - EVIDENCE &amp; ASSURANCE'!A37&lt;&gt;"",IF('07 - EVIDENCE &amp; ASSURANCE'!J37="","",'07 - EVIDENCE &amp; ASSURANCE'!J37),"")</f>
        <v/>
      </c>
      <c r="AI215" t="str">
        <f>IF('07 - EVIDENCE &amp; ASSURANCE'!A37&lt;&gt;"",IF('07 - EVIDENCE &amp; ASSURANCE'!C37="","",'07 - EVIDENCE &amp; ASSURANCE'!C37),"")</f>
        <v/>
      </c>
      <c r="AJ215" t="str">
        <f>IF('07 - EVIDENCE &amp; ASSURANCE'!A37&lt;&gt;"","07 - EVIDENCE &amp; ASSURANCE row 37","")</f>
        <v/>
      </c>
      <c r="AK215">
        <f>IF(AND('07 - EVIDENCE &amp; ASSURANCE'!A37&lt;&gt;"",OR('07 - EVIDENCE &amp; ASSURANCE'!C37&lt;&gt;"Closed",'07 - EVIDENCE &amp; ASSURANCE'!G37&lt;&gt;""),OR(AC215&lt;&gt;"",AD215&lt;&gt;"")),IF(Y215="Critical",1,IF(Y215="Review",2,3))*100000000+IF(ISNUMBER(AF215),AF215,99999)*1000+ROW(),999999999999)</f>
        <v>999999999999</v>
      </c>
      <c r="AL215">
        <f t="shared" si="16"/>
        <v>999999999999</v>
      </c>
      <c r="AM215">
        <f t="shared" si="20"/>
        <v>999999999999</v>
      </c>
      <c r="AN215">
        <f t="shared" si="17"/>
        <v>999999999999</v>
      </c>
      <c r="AO215">
        <f t="shared" si="18"/>
        <v>999999999999</v>
      </c>
      <c r="AP215">
        <f t="shared" ref="AP215:AP278" si="22">IF(AND(ISNUMBER(AK215),FALSE),AK215,999999999999)</f>
        <v>999999999999</v>
      </c>
      <c r="AQ215">
        <f t="shared" si="21"/>
        <v>999999999999</v>
      </c>
      <c r="AR215">
        <f t="shared" si="19"/>
        <v>0</v>
      </c>
    </row>
    <row r="216" spans="25:44">
      <c r="Y216" t="str">
        <f>IF('07 - EVIDENCE &amp; ASSURANCE'!A38&lt;&gt;"",IF('07 - EVIDENCE &amp; ASSURANCE'!F38="","",'07 - EVIDENCE &amp; ASSURANCE'!F38),"")</f>
        <v/>
      </c>
      <c r="Z216" t="str">
        <f>IF('07 - EVIDENCE &amp; ASSURANCE'!A38&lt;&gt;"","Assurance","")</f>
        <v/>
      </c>
      <c r="AA216" t="str">
        <f>IF('07 - EVIDENCE &amp; ASSURANCE'!A38&lt;&gt;"",IF('07 - EVIDENCE &amp; ASSURANCE'!A38="","",'07 - EVIDENCE &amp; ASSURANCE'!A38),"")</f>
        <v/>
      </c>
      <c r="AB216" t="str">
        <f>IF('07 - EVIDENCE &amp; ASSURANCE'!A38&lt;&gt;"",IF('07 - EVIDENCE &amp; ASSURANCE'!B38="","",'07 - EVIDENCE &amp; ASSURANCE'!B38),"")</f>
        <v/>
      </c>
      <c r="AC216" t="str">
        <f>IF('07 - EVIDENCE &amp; ASSURANCE'!A38&lt;&gt;"",IF('07 - EVIDENCE &amp; ASSURANCE'!G38="","",'07 - EVIDENCE &amp; ASSURANCE'!G38),"")</f>
        <v/>
      </c>
      <c r="AD216" t="str">
        <f>IF('07 - EVIDENCE &amp; ASSURANCE'!A38&lt;&gt;"",IF('07 - EVIDENCE &amp; ASSURANCE'!H38="","",'07 - EVIDENCE &amp; ASSURANCE'!H38),"")</f>
        <v/>
      </c>
      <c r="AE216" t="str">
        <f>IF('07 - EVIDENCE &amp; ASSURANCE'!A38&lt;&gt;"",IF('07 - EVIDENCE &amp; ASSURANCE'!D38="","",'07 - EVIDENCE &amp; ASSURANCE'!D38),"")</f>
        <v/>
      </c>
      <c r="AF216" s="17" t="str">
        <f>IF('07 - EVIDENCE &amp; ASSURANCE'!A38&lt;&gt;"",IF('07 - EVIDENCE &amp; ASSURANCE'!E38="","",'07 - EVIDENCE &amp; ASSURANCE'!E38),"")</f>
        <v/>
      </c>
      <c r="AG216" t="str">
        <f>IF('07 - EVIDENCE &amp; ASSURANCE'!A38&lt;&gt;"",IF('07 - EVIDENCE &amp; ASSURANCE'!I38="","",'07 - EVIDENCE &amp; ASSURANCE'!I38),"")</f>
        <v/>
      </c>
      <c r="AH216" t="str">
        <f>IF('07 - EVIDENCE &amp; ASSURANCE'!A38&lt;&gt;"",IF('07 - EVIDENCE &amp; ASSURANCE'!J38="","",'07 - EVIDENCE &amp; ASSURANCE'!J38),"")</f>
        <v/>
      </c>
      <c r="AI216" t="str">
        <f>IF('07 - EVIDENCE &amp; ASSURANCE'!A38&lt;&gt;"",IF('07 - EVIDENCE &amp; ASSURANCE'!C38="","",'07 - EVIDENCE &amp; ASSURANCE'!C38),"")</f>
        <v/>
      </c>
      <c r="AJ216" t="str">
        <f>IF('07 - EVIDENCE &amp; ASSURANCE'!A38&lt;&gt;"","07 - EVIDENCE &amp; ASSURANCE row 38","")</f>
        <v/>
      </c>
      <c r="AK216">
        <f>IF(AND('07 - EVIDENCE &amp; ASSURANCE'!A38&lt;&gt;"",OR('07 - EVIDENCE &amp; ASSURANCE'!C38&lt;&gt;"Closed",'07 - EVIDENCE &amp; ASSURANCE'!G38&lt;&gt;""),OR(AC216&lt;&gt;"",AD216&lt;&gt;"")),IF(Y216="Critical",1,IF(Y216="Review",2,3))*100000000+IF(ISNUMBER(AF216),AF216,99999)*1000+ROW(),999999999999)</f>
        <v>999999999999</v>
      </c>
      <c r="AL216">
        <f t="shared" si="16"/>
        <v>999999999999</v>
      </c>
      <c r="AM216">
        <f t="shared" si="20"/>
        <v>999999999999</v>
      </c>
      <c r="AN216">
        <f t="shared" si="17"/>
        <v>999999999999</v>
      </c>
      <c r="AO216">
        <f t="shared" si="18"/>
        <v>999999999999</v>
      </c>
      <c r="AP216">
        <f t="shared" si="22"/>
        <v>999999999999</v>
      </c>
      <c r="AQ216">
        <f t="shared" si="21"/>
        <v>999999999999</v>
      </c>
      <c r="AR216">
        <f t="shared" si="19"/>
        <v>0</v>
      </c>
    </row>
    <row r="217" spans="25:44">
      <c r="Y217" t="str">
        <f>IF('07 - EVIDENCE &amp; ASSURANCE'!A39&lt;&gt;"",IF('07 - EVIDENCE &amp; ASSURANCE'!F39="","",'07 - EVIDENCE &amp; ASSURANCE'!F39),"")</f>
        <v/>
      </c>
      <c r="Z217" t="str">
        <f>IF('07 - EVIDENCE &amp; ASSURANCE'!A39&lt;&gt;"","Assurance","")</f>
        <v/>
      </c>
      <c r="AA217" t="str">
        <f>IF('07 - EVIDENCE &amp; ASSURANCE'!A39&lt;&gt;"",IF('07 - EVIDENCE &amp; ASSURANCE'!A39="","",'07 - EVIDENCE &amp; ASSURANCE'!A39),"")</f>
        <v/>
      </c>
      <c r="AB217" t="str">
        <f>IF('07 - EVIDENCE &amp; ASSURANCE'!A39&lt;&gt;"",IF('07 - EVIDENCE &amp; ASSURANCE'!B39="","",'07 - EVIDENCE &amp; ASSURANCE'!B39),"")</f>
        <v/>
      </c>
      <c r="AC217" t="str">
        <f>IF('07 - EVIDENCE &amp; ASSURANCE'!A39&lt;&gt;"",IF('07 - EVIDENCE &amp; ASSURANCE'!G39="","",'07 - EVIDENCE &amp; ASSURANCE'!G39),"")</f>
        <v/>
      </c>
      <c r="AD217" t="str">
        <f>IF('07 - EVIDENCE &amp; ASSURANCE'!A39&lt;&gt;"",IF('07 - EVIDENCE &amp; ASSURANCE'!H39="","",'07 - EVIDENCE &amp; ASSURANCE'!H39),"")</f>
        <v/>
      </c>
      <c r="AE217" t="str">
        <f>IF('07 - EVIDENCE &amp; ASSURANCE'!A39&lt;&gt;"",IF('07 - EVIDENCE &amp; ASSURANCE'!D39="","",'07 - EVIDENCE &amp; ASSURANCE'!D39),"")</f>
        <v/>
      </c>
      <c r="AF217" s="17" t="str">
        <f>IF('07 - EVIDENCE &amp; ASSURANCE'!A39&lt;&gt;"",IF('07 - EVIDENCE &amp; ASSURANCE'!E39="","",'07 - EVIDENCE &amp; ASSURANCE'!E39),"")</f>
        <v/>
      </c>
      <c r="AG217" t="str">
        <f>IF('07 - EVIDENCE &amp; ASSURANCE'!A39&lt;&gt;"",IF('07 - EVIDENCE &amp; ASSURANCE'!I39="","",'07 - EVIDENCE &amp; ASSURANCE'!I39),"")</f>
        <v/>
      </c>
      <c r="AH217" t="str">
        <f>IF('07 - EVIDENCE &amp; ASSURANCE'!A39&lt;&gt;"",IF('07 - EVIDENCE &amp; ASSURANCE'!J39="","",'07 - EVIDENCE &amp; ASSURANCE'!J39),"")</f>
        <v/>
      </c>
      <c r="AI217" t="str">
        <f>IF('07 - EVIDENCE &amp; ASSURANCE'!A39&lt;&gt;"",IF('07 - EVIDENCE &amp; ASSURANCE'!C39="","",'07 - EVIDENCE &amp; ASSURANCE'!C39),"")</f>
        <v/>
      </c>
      <c r="AJ217" t="str">
        <f>IF('07 - EVIDENCE &amp; ASSURANCE'!A39&lt;&gt;"","07 - EVIDENCE &amp; ASSURANCE row 39","")</f>
        <v/>
      </c>
      <c r="AK217">
        <f>IF(AND('07 - EVIDENCE &amp; ASSURANCE'!A39&lt;&gt;"",OR('07 - EVIDENCE &amp; ASSURANCE'!C39&lt;&gt;"Closed",'07 - EVIDENCE &amp; ASSURANCE'!G39&lt;&gt;""),OR(AC217&lt;&gt;"",AD217&lt;&gt;"")),IF(Y217="Critical",1,IF(Y217="Review",2,3))*100000000+IF(ISNUMBER(AF217),AF217,99999)*1000+ROW(),999999999999)</f>
        <v>999999999999</v>
      </c>
      <c r="AL217">
        <f t="shared" si="16"/>
        <v>999999999999</v>
      </c>
      <c r="AM217">
        <f t="shared" si="20"/>
        <v>999999999999</v>
      </c>
      <c r="AN217">
        <f t="shared" si="17"/>
        <v>999999999999</v>
      </c>
      <c r="AO217">
        <f t="shared" si="18"/>
        <v>999999999999</v>
      </c>
      <c r="AP217">
        <f t="shared" si="22"/>
        <v>999999999999</v>
      </c>
      <c r="AQ217">
        <f t="shared" si="21"/>
        <v>999999999999</v>
      </c>
      <c r="AR217">
        <f t="shared" si="19"/>
        <v>0</v>
      </c>
    </row>
    <row r="218" spans="25:44">
      <c r="Y218" t="str">
        <f>IF('07 - EVIDENCE &amp; ASSURANCE'!A40&lt;&gt;"",IF('07 - EVIDENCE &amp; ASSURANCE'!F40="","",'07 - EVIDENCE &amp; ASSURANCE'!F40),"")</f>
        <v/>
      </c>
      <c r="Z218" t="str">
        <f>IF('07 - EVIDENCE &amp; ASSURANCE'!A40&lt;&gt;"","Assurance","")</f>
        <v/>
      </c>
      <c r="AA218" t="str">
        <f>IF('07 - EVIDENCE &amp; ASSURANCE'!A40&lt;&gt;"",IF('07 - EVIDENCE &amp; ASSURANCE'!A40="","",'07 - EVIDENCE &amp; ASSURANCE'!A40),"")</f>
        <v/>
      </c>
      <c r="AB218" t="str">
        <f>IF('07 - EVIDENCE &amp; ASSURANCE'!A40&lt;&gt;"",IF('07 - EVIDENCE &amp; ASSURANCE'!B40="","",'07 - EVIDENCE &amp; ASSURANCE'!B40),"")</f>
        <v/>
      </c>
      <c r="AC218" t="str">
        <f>IF('07 - EVIDENCE &amp; ASSURANCE'!A40&lt;&gt;"",IF('07 - EVIDENCE &amp; ASSURANCE'!G40="","",'07 - EVIDENCE &amp; ASSURANCE'!G40),"")</f>
        <v/>
      </c>
      <c r="AD218" t="str">
        <f>IF('07 - EVIDENCE &amp; ASSURANCE'!A40&lt;&gt;"",IF('07 - EVIDENCE &amp; ASSURANCE'!H40="","",'07 - EVIDENCE &amp; ASSURANCE'!H40),"")</f>
        <v/>
      </c>
      <c r="AE218" t="str">
        <f>IF('07 - EVIDENCE &amp; ASSURANCE'!A40&lt;&gt;"",IF('07 - EVIDENCE &amp; ASSURANCE'!D40="","",'07 - EVIDENCE &amp; ASSURANCE'!D40),"")</f>
        <v/>
      </c>
      <c r="AF218" s="17" t="str">
        <f>IF('07 - EVIDENCE &amp; ASSURANCE'!A40&lt;&gt;"",IF('07 - EVIDENCE &amp; ASSURANCE'!E40="","",'07 - EVIDENCE &amp; ASSURANCE'!E40),"")</f>
        <v/>
      </c>
      <c r="AG218" t="str">
        <f>IF('07 - EVIDENCE &amp; ASSURANCE'!A40&lt;&gt;"",IF('07 - EVIDENCE &amp; ASSURANCE'!I40="","",'07 - EVIDENCE &amp; ASSURANCE'!I40),"")</f>
        <v/>
      </c>
      <c r="AH218" t="str">
        <f>IF('07 - EVIDENCE &amp; ASSURANCE'!A40&lt;&gt;"",IF('07 - EVIDENCE &amp; ASSURANCE'!J40="","",'07 - EVIDENCE &amp; ASSURANCE'!J40),"")</f>
        <v/>
      </c>
      <c r="AI218" t="str">
        <f>IF('07 - EVIDENCE &amp; ASSURANCE'!A40&lt;&gt;"",IF('07 - EVIDENCE &amp; ASSURANCE'!C40="","",'07 - EVIDENCE &amp; ASSURANCE'!C40),"")</f>
        <v/>
      </c>
      <c r="AJ218" t="str">
        <f>IF('07 - EVIDENCE &amp; ASSURANCE'!A40&lt;&gt;"","07 - EVIDENCE &amp; ASSURANCE row 40","")</f>
        <v/>
      </c>
      <c r="AK218">
        <f>IF(AND('07 - EVIDENCE &amp; ASSURANCE'!A40&lt;&gt;"",OR('07 - EVIDENCE &amp; ASSURANCE'!C40&lt;&gt;"Closed",'07 - EVIDENCE &amp; ASSURANCE'!G40&lt;&gt;""),OR(AC218&lt;&gt;"",AD218&lt;&gt;"")),IF(Y218="Critical",1,IF(Y218="Review",2,3))*100000000+IF(ISNUMBER(AF218),AF218,99999)*1000+ROW(),999999999999)</f>
        <v>999999999999</v>
      </c>
      <c r="AL218">
        <f t="shared" si="16"/>
        <v>999999999999</v>
      </c>
      <c r="AM218">
        <f t="shared" si="20"/>
        <v>999999999999</v>
      </c>
      <c r="AN218">
        <f t="shared" si="17"/>
        <v>999999999999</v>
      </c>
      <c r="AO218">
        <f t="shared" si="18"/>
        <v>999999999999</v>
      </c>
      <c r="AP218">
        <f t="shared" si="22"/>
        <v>999999999999</v>
      </c>
      <c r="AQ218">
        <f t="shared" si="21"/>
        <v>999999999999</v>
      </c>
      <c r="AR218">
        <f t="shared" si="19"/>
        <v>0</v>
      </c>
    </row>
    <row r="219" spans="25:44">
      <c r="Y219" t="str">
        <f>IF('07 - EVIDENCE &amp; ASSURANCE'!A41&lt;&gt;"",IF('07 - EVIDENCE &amp; ASSURANCE'!F41="","",'07 - EVIDENCE &amp; ASSURANCE'!F41),"")</f>
        <v/>
      </c>
      <c r="Z219" t="str">
        <f>IF('07 - EVIDENCE &amp; ASSURANCE'!A41&lt;&gt;"","Assurance","")</f>
        <v/>
      </c>
      <c r="AA219" t="str">
        <f>IF('07 - EVIDENCE &amp; ASSURANCE'!A41&lt;&gt;"",IF('07 - EVIDENCE &amp; ASSURANCE'!A41="","",'07 - EVIDENCE &amp; ASSURANCE'!A41),"")</f>
        <v/>
      </c>
      <c r="AB219" t="str">
        <f>IF('07 - EVIDENCE &amp; ASSURANCE'!A41&lt;&gt;"",IF('07 - EVIDENCE &amp; ASSURANCE'!B41="","",'07 - EVIDENCE &amp; ASSURANCE'!B41),"")</f>
        <v/>
      </c>
      <c r="AC219" t="str">
        <f>IF('07 - EVIDENCE &amp; ASSURANCE'!A41&lt;&gt;"",IF('07 - EVIDENCE &amp; ASSURANCE'!G41="","",'07 - EVIDENCE &amp; ASSURANCE'!G41),"")</f>
        <v/>
      </c>
      <c r="AD219" t="str">
        <f>IF('07 - EVIDENCE &amp; ASSURANCE'!A41&lt;&gt;"",IF('07 - EVIDENCE &amp; ASSURANCE'!H41="","",'07 - EVIDENCE &amp; ASSURANCE'!H41),"")</f>
        <v/>
      </c>
      <c r="AE219" t="str">
        <f>IF('07 - EVIDENCE &amp; ASSURANCE'!A41&lt;&gt;"",IF('07 - EVIDENCE &amp; ASSURANCE'!D41="","",'07 - EVIDENCE &amp; ASSURANCE'!D41),"")</f>
        <v/>
      </c>
      <c r="AF219" s="17" t="str">
        <f>IF('07 - EVIDENCE &amp; ASSURANCE'!A41&lt;&gt;"",IF('07 - EVIDENCE &amp; ASSURANCE'!E41="","",'07 - EVIDENCE &amp; ASSURANCE'!E41),"")</f>
        <v/>
      </c>
      <c r="AG219" t="str">
        <f>IF('07 - EVIDENCE &amp; ASSURANCE'!A41&lt;&gt;"",IF('07 - EVIDENCE &amp; ASSURANCE'!I41="","",'07 - EVIDENCE &amp; ASSURANCE'!I41),"")</f>
        <v/>
      </c>
      <c r="AH219" t="str">
        <f>IF('07 - EVIDENCE &amp; ASSURANCE'!A41&lt;&gt;"",IF('07 - EVIDENCE &amp; ASSURANCE'!J41="","",'07 - EVIDENCE &amp; ASSURANCE'!J41),"")</f>
        <v/>
      </c>
      <c r="AI219" t="str">
        <f>IF('07 - EVIDENCE &amp; ASSURANCE'!A41&lt;&gt;"",IF('07 - EVIDENCE &amp; ASSURANCE'!C41="","",'07 - EVIDENCE &amp; ASSURANCE'!C41),"")</f>
        <v/>
      </c>
      <c r="AJ219" t="str">
        <f>IF('07 - EVIDENCE &amp; ASSURANCE'!A41&lt;&gt;"","07 - EVIDENCE &amp; ASSURANCE row 41","")</f>
        <v/>
      </c>
      <c r="AK219">
        <f>IF(AND('07 - EVIDENCE &amp; ASSURANCE'!A41&lt;&gt;"",OR('07 - EVIDENCE &amp; ASSURANCE'!C41&lt;&gt;"Closed",'07 - EVIDENCE &amp; ASSURANCE'!G41&lt;&gt;""),OR(AC219&lt;&gt;"",AD219&lt;&gt;"")),IF(Y219="Critical",1,IF(Y219="Review",2,3))*100000000+IF(ISNUMBER(AF219),AF219,99999)*1000+ROW(),999999999999)</f>
        <v>999999999999</v>
      </c>
      <c r="AL219">
        <f t="shared" si="16"/>
        <v>999999999999</v>
      </c>
      <c r="AM219">
        <f t="shared" si="20"/>
        <v>999999999999</v>
      </c>
      <c r="AN219">
        <f t="shared" si="17"/>
        <v>999999999999</v>
      </c>
      <c r="AO219">
        <f t="shared" si="18"/>
        <v>999999999999</v>
      </c>
      <c r="AP219">
        <f t="shared" si="22"/>
        <v>999999999999</v>
      </c>
      <c r="AQ219">
        <f t="shared" si="21"/>
        <v>999999999999</v>
      </c>
      <c r="AR219">
        <f t="shared" si="19"/>
        <v>0</v>
      </c>
    </row>
    <row r="220" spans="25:44">
      <c r="Y220" t="str">
        <f>IF('07 - EVIDENCE &amp; ASSURANCE'!A42&lt;&gt;"",IF('07 - EVIDENCE &amp; ASSURANCE'!F42="","",'07 - EVIDENCE &amp; ASSURANCE'!F42),"")</f>
        <v/>
      </c>
      <c r="Z220" t="str">
        <f>IF('07 - EVIDENCE &amp; ASSURANCE'!A42&lt;&gt;"","Assurance","")</f>
        <v/>
      </c>
      <c r="AA220" t="str">
        <f>IF('07 - EVIDENCE &amp; ASSURANCE'!A42&lt;&gt;"",IF('07 - EVIDENCE &amp; ASSURANCE'!A42="","",'07 - EVIDENCE &amp; ASSURANCE'!A42),"")</f>
        <v/>
      </c>
      <c r="AB220" t="str">
        <f>IF('07 - EVIDENCE &amp; ASSURANCE'!A42&lt;&gt;"",IF('07 - EVIDENCE &amp; ASSURANCE'!B42="","",'07 - EVIDENCE &amp; ASSURANCE'!B42),"")</f>
        <v/>
      </c>
      <c r="AC220" t="str">
        <f>IF('07 - EVIDENCE &amp; ASSURANCE'!A42&lt;&gt;"",IF('07 - EVIDENCE &amp; ASSURANCE'!G42="","",'07 - EVIDENCE &amp; ASSURANCE'!G42),"")</f>
        <v/>
      </c>
      <c r="AD220" t="str">
        <f>IF('07 - EVIDENCE &amp; ASSURANCE'!A42&lt;&gt;"",IF('07 - EVIDENCE &amp; ASSURANCE'!H42="","",'07 - EVIDENCE &amp; ASSURANCE'!H42),"")</f>
        <v/>
      </c>
      <c r="AE220" t="str">
        <f>IF('07 - EVIDENCE &amp; ASSURANCE'!A42&lt;&gt;"",IF('07 - EVIDENCE &amp; ASSURANCE'!D42="","",'07 - EVIDENCE &amp; ASSURANCE'!D42),"")</f>
        <v/>
      </c>
      <c r="AF220" s="17" t="str">
        <f>IF('07 - EVIDENCE &amp; ASSURANCE'!A42&lt;&gt;"",IF('07 - EVIDENCE &amp; ASSURANCE'!E42="","",'07 - EVIDENCE &amp; ASSURANCE'!E42),"")</f>
        <v/>
      </c>
      <c r="AG220" t="str">
        <f>IF('07 - EVIDENCE &amp; ASSURANCE'!A42&lt;&gt;"",IF('07 - EVIDENCE &amp; ASSURANCE'!I42="","",'07 - EVIDENCE &amp; ASSURANCE'!I42),"")</f>
        <v/>
      </c>
      <c r="AH220" t="str">
        <f>IF('07 - EVIDENCE &amp; ASSURANCE'!A42&lt;&gt;"",IF('07 - EVIDENCE &amp; ASSURANCE'!J42="","",'07 - EVIDENCE &amp; ASSURANCE'!J42),"")</f>
        <v/>
      </c>
      <c r="AI220" t="str">
        <f>IF('07 - EVIDENCE &amp; ASSURANCE'!A42&lt;&gt;"",IF('07 - EVIDENCE &amp; ASSURANCE'!C42="","",'07 - EVIDENCE &amp; ASSURANCE'!C42),"")</f>
        <v/>
      </c>
      <c r="AJ220" t="str">
        <f>IF('07 - EVIDENCE &amp; ASSURANCE'!A42&lt;&gt;"","07 - EVIDENCE &amp; ASSURANCE row 42","")</f>
        <v/>
      </c>
      <c r="AK220">
        <f>IF(AND('07 - EVIDENCE &amp; ASSURANCE'!A42&lt;&gt;"",OR('07 - EVIDENCE &amp; ASSURANCE'!C42&lt;&gt;"Closed",'07 - EVIDENCE &amp; ASSURANCE'!G42&lt;&gt;""),OR(AC220&lt;&gt;"",AD220&lt;&gt;"")),IF(Y220="Critical",1,IF(Y220="Review",2,3))*100000000+IF(ISNUMBER(AF220),AF220,99999)*1000+ROW(),999999999999)</f>
        <v>999999999999</v>
      </c>
      <c r="AL220">
        <f t="shared" si="16"/>
        <v>999999999999</v>
      </c>
      <c r="AM220">
        <f t="shared" si="20"/>
        <v>999999999999</v>
      </c>
      <c r="AN220">
        <f t="shared" si="17"/>
        <v>999999999999</v>
      </c>
      <c r="AO220">
        <f t="shared" si="18"/>
        <v>999999999999</v>
      </c>
      <c r="AP220">
        <f t="shared" si="22"/>
        <v>999999999999</v>
      </c>
      <c r="AQ220">
        <f t="shared" si="21"/>
        <v>999999999999</v>
      </c>
      <c r="AR220">
        <f t="shared" si="19"/>
        <v>0</v>
      </c>
    </row>
    <row r="221" spans="25:44">
      <c r="Y221" t="str">
        <f>IF('07 - EVIDENCE &amp; ASSURANCE'!A43&lt;&gt;"",IF('07 - EVIDENCE &amp; ASSURANCE'!F43="","",'07 - EVIDENCE &amp; ASSURANCE'!F43),"")</f>
        <v/>
      </c>
      <c r="Z221" t="str">
        <f>IF('07 - EVIDENCE &amp; ASSURANCE'!A43&lt;&gt;"","Assurance","")</f>
        <v/>
      </c>
      <c r="AA221" t="str">
        <f>IF('07 - EVIDENCE &amp; ASSURANCE'!A43&lt;&gt;"",IF('07 - EVIDENCE &amp; ASSURANCE'!A43="","",'07 - EVIDENCE &amp; ASSURANCE'!A43),"")</f>
        <v/>
      </c>
      <c r="AB221" t="str">
        <f>IF('07 - EVIDENCE &amp; ASSURANCE'!A43&lt;&gt;"",IF('07 - EVIDENCE &amp; ASSURANCE'!B43="","",'07 - EVIDENCE &amp; ASSURANCE'!B43),"")</f>
        <v/>
      </c>
      <c r="AC221" t="str">
        <f>IF('07 - EVIDENCE &amp; ASSURANCE'!A43&lt;&gt;"",IF('07 - EVIDENCE &amp; ASSURANCE'!G43="","",'07 - EVIDENCE &amp; ASSURANCE'!G43),"")</f>
        <v/>
      </c>
      <c r="AD221" t="str">
        <f>IF('07 - EVIDENCE &amp; ASSURANCE'!A43&lt;&gt;"",IF('07 - EVIDENCE &amp; ASSURANCE'!H43="","",'07 - EVIDENCE &amp; ASSURANCE'!H43),"")</f>
        <v/>
      </c>
      <c r="AE221" t="str">
        <f>IF('07 - EVIDENCE &amp; ASSURANCE'!A43&lt;&gt;"",IF('07 - EVIDENCE &amp; ASSURANCE'!D43="","",'07 - EVIDENCE &amp; ASSURANCE'!D43),"")</f>
        <v/>
      </c>
      <c r="AF221" s="17" t="str">
        <f>IF('07 - EVIDENCE &amp; ASSURANCE'!A43&lt;&gt;"",IF('07 - EVIDENCE &amp; ASSURANCE'!E43="","",'07 - EVIDENCE &amp; ASSURANCE'!E43),"")</f>
        <v/>
      </c>
      <c r="AG221" t="str">
        <f>IF('07 - EVIDENCE &amp; ASSURANCE'!A43&lt;&gt;"",IF('07 - EVIDENCE &amp; ASSURANCE'!I43="","",'07 - EVIDENCE &amp; ASSURANCE'!I43),"")</f>
        <v/>
      </c>
      <c r="AH221" t="str">
        <f>IF('07 - EVIDENCE &amp; ASSURANCE'!A43&lt;&gt;"",IF('07 - EVIDENCE &amp; ASSURANCE'!J43="","",'07 - EVIDENCE &amp; ASSURANCE'!J43),"")</f>
        <v/>
      </c>
      <c r="AI221" t="str">
        <f>IF('07 - EVIDENCE &amp; ASSURANCE'!A43&lt;&gt;"",IF('07 - EVIDENCE &amp; ASSURANCE'!C43="","",'07 - EVIDENCE &amp; ASSURANCE'!C43),"")</f>
        <v/>
      </c>
      <c r="AJ221" t="str">
        <f>IF('07 - EVIDENCE &amp; ASSURANCE'!A43&lt;&gt;"","07 - EVIDENCE &amp; ASSURANCE row 43","")</f>
        <v/>
      </c>
      <c r="AK221">
        <f>IF(AND('07 - EVIDENCE &amp; ASSURANCE'!A43&lt;&gt;"",OR('07 - EVIDENCE &amp; ASSURANCE'!C43&lt;&gt;"Closed",'07 - EVIDENCE &amp; ASSURANCE'!G43&lt;&gt;""),OR(AC221&lt;&gt;"",AD221&lt;&gt;"")),IF(Y221="Critical",1,IF(Y221="Review",2,3))*100000000+IF(ISNUMBER(AF221),AF221,99999)*1000+ROW(),999999999999)</f>
        <v>999999999999</v>
      </c>
      <c r="AL221">
        <f t="shared" si="16"/>
        <v>999999999999</v>
      </c>
      <c r="AM221">
        <f t="shared" si="20"/>
        <v>999999999999</v>
      </c>
      <c r="AN221">
        <f t="shared" si="17"/>
        <v>999999999999</v>
      </c>
      <c r="AO221">
        <f t="shared" si="18"/>
        <v>999999999999</v>
      </c>
      <c r="AP221">
        <f t="shared" si="22"/>
        <v>999999999999</v>
      </c>
      <c r="AQ221">
        <f t="shared" si="21"/>
        <v>999999999999</v>
      </c>
      <c r="AR221">
        <f t="shared" si="19"/>
        <v>0</v>
      </c>
    </row>
    <row r="222" spans="25:44">
      <c r="Y222" t="str">
        <f>IF('07 - EVIDENCE &amp; ASSURANCE'!A44&lt;&gt;"",IF('07 - EVIDENCE &amp; ASSURANCE'!F44="","",'07 - EVIDENCE &amp; ASSURANCE'!F44),"")</f>
        <v/>
      </c>
      <c r="Z222" t="str">
        <f>IF('07 - EVIDENCE &amp; ASSURANCE'!A44&lt;&gt;"","Assurance","")</f>
        <v/>
      </c>
      <c r="AA222" t="str">
        <f>IF('07 - EVIDENCE &amp; ASSURANCE'!A44&lt;&gt;"",IF('07 - EVIDENCE &amp; ASSURANCE'!A44="","",'07 - EVIDENCE &amp; ASSURANCE'!A44),"")</f>
        <v/>
      </c>
      <c r="AB222" t="str">
        <f>IF('07 - EVIDENCE &amp; ASSURANCE'!A44&lt;&gt;"",IF('07 - EVIDENCE &amp; ASSURANCE'!B44="","",'07 - EVIDENCE &amp; ASSURANCE'!B44),"")</f>
        <v/>
      </c>
      <c r="AC222" t="str">
        <f>IF('07 - EVIDENCE &amp; ASSURANCE'!A44&lt;&gt;"",IF('07 - EVIDENCE &amp; ASSURANCE'!G44="","",'07 - EVIDENCE &amp; ASSURANCE'!G44),"")</f>
        <v/>
      </c>
      <c r="AD222" t="str">
        <f>IF('07 - EVIDENCE &amp; ASSURANCE'!A44&lt;&gt;"",IF('07 - EVIDENCE &amp; ASSURANCE'!H44="","",'07 - EVIDENCE &amp; ASSURANCE'!H44),"")</f>
        <v/>
      </c>
      <c r="AE222" t="str">
        <f>IF('07 - EVIDENCE &amp; ASSURANCE'!A44&lt;&gt;"",IF('07 - EVIDENCE &amp; ASSURANCE'!D44="","",'07 - EVIDENCE &amp; ASSURANCE'!D44),"")</f>
        <v/>
      </c>
      <c r="AF222" s="17" t="str">
        <f>IF('07 - EVIDENCE &amp; ASSURANCE'!A44&lt;&gt;"",IF('07 - EVIDENCE &amp; ASSURANCE'!E44="","",'07 - EVIDENCE &amp; ASSURANCE'!E44),"")</f>
        <v/>
      </c>
      <c r="AG222" t="str">
        <f>IF('07 - EVIDENCE &amp; ASSURANCE'!A44&lt;&gt;"",IF('07 - EVIDENCE &amp; ASSURANCE'!I44="","",'07 - EVIDENCE &amp; ASSURANCE'!I44),"")</f>
        <v/>
      </c>
      <c r="AH222" t="str">
        <f>IF('07 - EVIDENCE &amp; ASSURANCE'!A44&lt;&gt;"",IF('07 - EVIDENCE &amp; ASSURANCE'!J44="","",'07 - EVIDENCE &amp; ASSURANCE'!J44),"")</f>
        <v/>
      </c>
      <c r="AI222" t="str">
        <f>IF('07 - EVIDENCE &amp; ASSURANCE'!A44&lt;&gt;"",IF('07 - EVIDENCE &amp; ASSURANCE'!C44="","",'07 - EVIDENCE &amp; ASSURANCE'!C44),"")</f>
        <v/>
      </c>
      <c r="AJ222" t="str">
        <f>IF('07 - EVIDENCE &amp; ASSURANCE'!A44&lt;&gt;"","07 - EVIDENCE &amp; ASSURANCE row 44","")</f>
        <v/>
      </c>
      <c r="AK222">
        <f>IF(AND('07 - EVIDENCE &amp; ASSURANCE'!A44&lt;&gt;"",OR('07 - EVIDENCE &amp; ASSURANCE'!C44&lt;&gt;"Closed",'07 - EVIDENCE &amp; ASSURANCE'!G44&lt;&gt;""),OR(AC222&lt;&gt;"",AD222&lt;&gt;"")),IF(Y222="Critical",1,IF(Y222="Review",2,3))*100000000+IF(ISNUMBER(AF222),AF222,99999)*1000+ROW(),999999999999)</f>
        <v>999999999999</v>
      </c>
      <c r="AL222">
        <f t="shared" ref="AL222:AL285" si="23">IF(AND(ISNUMBER(AK222),Y222="Critical"),AK222,999999999999)</f>
        <v>999999999999</v>
      </c>
      <c r="AM222">
        <f t="shared" si="20"/>
        <v>999999999999</v>
      </c>
      <c r="AN222">
        <f t="shared" ref="AN222:AN236" si="24">IF(AND(ISNUMBER(AK222),FALSE),AK222,999999999999)</f>
        <v>999999999999</v>
      </c>
      <c r="AO222">
        <f t="shared" ref="AO222:AO285" si="25">IF(AND(ISNUMBER(AK222),ISNUMBER(AF222),AF222&gt;=ReviewDate,AF222&lt;=ReviewDate+Upcoming),AF222*1000+ROW(),999999999999)</f>
        <v>999999999999</v>
      </c>
      <c r="AP222">
        <f t="shared" si="22"/>
        <v>999999999999</v>
      </c>
      <c r="AQ222">
        <f t="shared" si="21"/>
        <v>999999999999</v>
      </c>
      <c r="AR222">
        <f t="shared" ref="AR222:AR285" si="26">IF(AC222&lt;&gt;"",1,0)</f>
        <v>0</v>
      </c>
    </row>
    <row r="223" spans="25:44">
      <c r="Y223" t="str">
        <f>IF('07 - EVIDENCE &amp; ASSURANCE'!A45&lt;&gt;"",IF('07 - EVIDENCE &amp; ASSURANCE'!F45="","",'07 - EVIDENCE &amp; ASSURANCE'!F45),"")</f>
        <v/>
      </c>
      <c r="Z223" t="str">
        <f>IF('07 - EVIDENCE &amp; ASSURANCE'!A45&lt;&gt;"","Assurance","")</f>
        <v/>
      </c>
      <c r="AA223" t="str">
        <f>IF('07 - EVIDENCE &amp; ASSURANCE'!A45&lt;&gt;"",IF('07 - EVIDENCE &amp; ASSURANCE'!A45="","",'07 - EVIDENCE &amp; ASSURANCE'!A45),"")</f>
        <v/>
      </c>
      <c r="AB223" t="str">
        <f>IF('07 - EVIDENCE &amp; ASSURANCE'!A45&lt;&gt;"",IF('07 - EVIDENCE &amp; ASSURANCE'!B45="","",'07 - EVIDENCE &amp; ASSURANCE'!B45),"")</f>
        <v/>
      </c>
      <c r="AC223" t="str">
        <f>IF('07 - EVIDENCE &amp; ASSURANCE'!A45&lt;&gt;"",IF('07 - EVIDENCE &amp; ASSURANCE'!G45="","",'07 - EVIDENCE &amp; ASSURANCE'!G45),"")</f>
        <v/>
      </c>
      <c r="AD223" t="str">
        <f>IF('07 - EVIDENCE &amp; ASSURANCE'!A45&lt;&gt;"",IF('07 - EVIDENCE &amp; ASSURANCE'!H45="","",'07 - EVIDENCE &amp; ASSURANCE'!H45),"")</f>
        <v/>
      </c>
      <c r="AE223" t="str">
        <f>IF('07 - EVIDENCE &amp; ASSURANCE'!A45&lt;&gt;"",IF('07 - EVIDENCE &amp; ASSURANCE'!D45="","",'07 - EVIDENCE &amp; ASSURANCE'!D45),"")</f>
        <v/>
      </c>
      <c r="AF223" s="17" t="str">
        <f>IF('07 - EVIDENCE &amp; ASSURANCE'!A45&lt;&gt;"",IF('07 - EVIDENCE &amp; ASSURANCE'!E45="","",'07 - EVIDENCE &amp; ASSURANCE'!E45),"")</f>
        <v/>
      </c>
      <c r="AG223" t="str">
        <f>IF('07 - EVIDENCE &amp; ASSURANCE'!A45&lt;&gt;"",IF('07 - EVIDENCE &amp; ASSURANCE'!I45="","",'07 - EVIDENCE &amp; ASSURANCE'!I45),"")</f>
        <v/>
      </c>
      <c r="AH223" t="str">
        <f>IF('07 - EVIDENCE &amp; ASSURANCE'!A45&lt;&gt;"",IF('07 - EVIDENCE &amp; ASSURANCE'!J45="","",'07 - EVIDENCE &amp; ASSURANCE'!J45),"")</f>
        <v/>
      </c>
      <c r="AI223" t="str">
        <f>IF('07 - EVIDENCE &amp; ASSURANCE'!A45&lt;&gt;"",IF('07 - EVIDENCE &amp; ASSURANCE'!C45="","",'07 - EVIDENCE &amp; ASSURANCE'!C45),"")</f>
        <v/>
      </c>
      <c r="AJ223" t="str">
        <f>IF('07 - EVIDENCE &amp; ASSURANCE'!A45&lt;&gt;"","07 - EVIDENCE &amp; ASSURANCE row 45","")</f>
        <v/>
      </c>
      <c r="AK223">
        <f>IF(AND('07 - EVIDENCE &amp; ASSURANCE'!A45&lt;&gt;"",OR('07 - EVIDENCE &amp; ASSURANCE'!C45&lt;&gt;"Closed",'07 - EVIDENCE &amp; ASSURANCE'!G45&lt;&gt;""),OR(AC223&lt;&gt;"",AD223&lt;&gt;"")),IF(Y223="Critical",1,IF(Y223="Review",2,3))*100000000+IF(ISNUMBER(AF223),AF223,99999)*1000+ROW(),999999999999)</f>
        <v>999999999999</v>
      </c>
      <c r="AL223">
        <f t="shared" si="23"/>
        <v>999999999999</v>
      </c>
      <c r="AM223">
        <f t="shared" si="20"/>
        <v>999999999999</v>
      </c>
      <c r="AN223">
        <f t="shared" si="24"/>
        <v>999999999999</v>
      </c>
      <c r="AO223">
        <f t="shared" si="25"/>
        <v>999999999999</v>
      </c>
      <c r="AP223">
        <f t="shared" si="22"/>
        <v>999999999999</v>
      </c>
      <c r="AQ223">
        <f t="shared" si="21"/>
        <v>999999999999</v>
      </c>
      <c r="AR223">
        <f t="shared" si="26"/>
        <v>0</v>
      </c>
    </row>
    <row r="224" spans="25:44">
      <c r="Y224" t="str">
        <f>IF('07 - EVIDENCE &amp; ASSURANCE'!A46&lt;&gt;"",IF('07 - EVIDENCE &amp; ASSURANCE'!F46="","",'07 - EVIDENCE &amp; ASSURANCE'!F46),"")</f>
        <v/>
      </c>
      <c r="Z224" t="str">
        <f>IF('07 - EVIDENCE &amp; ASSURANCE'!A46&lt;&gt;"","Assurance","")</f>
        <v/>
      </c>
      <c r="AA224" t="str">
        <f>IF('07 - EVIDENCE &amp; ASSURANCE'!A46&lt;&gt;"",IF('07 - EVIDENCE &amp; ASSURANCE'!A46="","",'07 - EVIDENCE &amp; ASSURANCE'!A46),"")</f>
        <v/>
      </c>
      <c r="AB224" t="str">
        <f>IF('07 - EVIDENCE &amp; ASSURANCE'!A46&lt;&gt;"",IF('07 - EVIDENCE &amp; ASSURANCE'!B46="","",'07 - EVIDENCE &amp; ASSURANCE'!B46),"")</f>
        <v/>
      </c>
      <c r="AC224" t="str">
        <f>IF('07 - EVIDENCE &amp; ASSURANCE'!A46&lt;&gt;"",IF('07 - EVIDENCE &amp; ASSURANCE'!G46="","",'07 - EVIDENCE &amp; ASSURANCE'!G46),"")</f>
        <v/>
      </c>
      <c r="AD224" t="str">
        <f>IF('07 - EVIDENCE &amp; ASSURANCE'!A46&lt;&gt;"",IF('07 - EVIDENCE &amp; ASSURANCE'!H46="","",'07 - EVIDENCE &amp; ASSURANCE'!H46),"")</f>
        <v/>
      </c>
      <c r="AE224" t="str">
        <f>IF('07 - EVIDENCE &amp; ASSURANCE'!A46&lt;&gt;"",IF('07 - EVIDENCE &amp; ASSURANCE'!D46="","",'07 - EVIDENCE &amp; ASSURANCE'!D46),"")</f>
        <v/>
      </c>
      <c r="AF224" s="17" t="str">
        <f>IF('07 - EVIDENCE &amp; ASSURANCE'!A46&lt;&gt;"",IF('07 - EVIDENCE &amp; ASSURANCE'!E46="","",'07 - EVIDENCE &amp; ASSURANCE'!E46),"")</f>
        <v/>
      </c>
      <c r="AG224" t="str">
        <f>IF('07 - EVIDENCE &amp; ASSURANCE'!A46&lt;&gt;"",IF('07 - EVIDENCE &amp; ASSURANCE'!I46="","",'07 - EVIDENCE &amp; ASSURANCE'!I46),"")</f>
        <v/>
      </c>
      <c r="AH224" t="str">
        <f>IF('07 - EVIDENCE &amp; ASSURANCE'!A46&lt;&gt;"",IF('07 - EVIDENCE &amp; ASSURANCE'!J46="","",'07 - EVIDENCE &amp; ASSURANCE'!J46),"")</f>
        <v/>
      </c>
      <c r="AI224" t="str">
        <f>IF('07 - EVIDENCE &amp; ASSURANCE'!A46&lt;&gt;"",IF('07 - EVIDENCE &amp; ASSURANCE'!C46="","",'07 - EVIDENCE &amp; ASSURANCE'!C46),"")</f>
        <v/>
      </c>
      <c r="AJ224" t="str">
        <f>IF('07 - EVIDENCE &amp; ASSURANCE'!A46&lt;&gt;"","07 - EVIDENCE &amp; ASSURANCE row 46","")</f>
        <v/>
      </c>
      <c r="AK224">
        <f>IF(AND('07 - EVIDENCE &amp; ASSURANCE'!A46&lt;&gt;"",OR('07 - EVIDENCE &amp; ASSURANCE'!C46&lt;&gt;"Closed",'07 - EVIDENCE &amp; ASSURANCE'!G46&lt;&gt;""),OR(AC224&lt;&gt;"",AD224&lt;&gt;"")),IF(Y224="Critical",1,IF(Y224="Review",2,3))*100000000+IF(ISNUMBER(AF224),AF224,99999)*1000+ROW(),999999999999)</f>
        <v>999999999999</v>
      </c>
      <c r="AL224">
        <f t="shared" si="23"/>
        <v>999999999999</v>
      </c>
      <c r="AM224">
        <f t="shared" si="20"/>
        <v>999999999999</v>
      </c>
      <c r="AN224">
        <f t="shared" si="24"/>
        <v>999999999999</v>
      </c>
      <c r="AO224">
        <f t="shared" si="25"/>
        <v>999999999999</v>
      </c>
      <c r="AP224">
        <f t="shared" si="22"/>
        <v>999999999999</v>
      </c>
      <c r="AQ224">
        <f t="shared" si="21"/>
        <v>999999999999</v>
      </c>
      <c r="AR224">
        <f t="shared" si="26"/>
        <v>0</v>
      </c>
    </row>
    <row r="225" spans="25:44">
      <c r="Y225" t="str">
        <f>IF('07 - EVIDENCE &amp; ASSURANCE'!A47&lt;&gt;"",IF('07 - EVIDENCE &amp; ASSURANCE'!F47="","",'07 - EVIDENCE &amp; ASSURANCE'!F47),"")</f>
        <v/>
      </c>
      <c r="Z225" t="str">
        <f>IF('07 - EVIDENCE &amp; ASSURANCE'!A47&lt;&gt;"","Assurance","")</f>
        <v/>
      </c>
      <c r="AA225" t="str">
        <f>IF('07 - EVIDENCE &amp; ASSURANCE'!A47&lt;&gt;"",IF('07 - EVIDENCE &amp; ASSURANCE'!A47="","",'07 - EVIDENCE &amp; ASSURANCE'!A47),"")</f>
        <v/>
      </c>
      <c r="AB225" t="str">
        <f>IF('07 - EVIDENCE &amp; ASSURANCE'!A47&lt;&gt;"",IF('07 - EVIDENCE &amp; ASSURANCE'!B47="","",'07 - EVIDENCE &amp; ASSURANCE'!B47),"")</f>
        <v/>
      </c>
      <c r="AC225" t="str">
        <f>IF('07 - EVIDENCE &amp; ASSURANCE'!A47&lt;&gt;"",IF('07 - EVIDENCE &amp; ASSURANCE'!G47="","",'07 - EVIDENCE &amp; ASSURANCE'!G47),"")</f>
        <v/>
      </c>
      <c r="AD225" t="str">
        <f>IF('07 - EVIDENCE &amp; ASSURANCE'!A47&lt;&gt;"",IF('07 - EVIDENCE &amp; ASSURANCE'!H47="","",'07 - EVIDENCE &amp; ASSURANCE'!H47),"")</f>
        <v/>
      </c>
      <c r="AE225" t="str">
        <f>IF('07 - EVIDENCE &amp; ASSURANCE'!A47&lt;&gt;"",IF('07 - EVIDENCE &amp; ASSURANCE'!D47="","",'07 - EVIDENCE &amp; ASSURANCE'!D47),"")</f>
        <v/>
      </c>
      <c r="AF225" s="17" t="str">
        <f>IF('07 - EVIDENCE &amp; ASSURANCE'!A47&lt;&gt;"",IF('07 - EVIDENCE &amp; ASSURANCE'!E47="","",'07 - EVIDENCE &amp; ASSURANCE'!E47),"")</f>
        <v/>
      </c>
      <c r="AG225" t="str">
        <f>IF('07 - EVIDENCE &amp; ASSURANCE'!A47&lt;&gt;"",IF('07 - EVIDENCE &amp; ASSURANCE'!I47="","",'07 - EVIDENCE &amp; ASSURANCE'!I47),"")</f>
        <v/>
      </c>
      <c r="AH225" t="str">
        <f>IF('07 - EVIDENCE &amp; ASSURANCE'!A47&lt;&gt;"",IF('07 - EVIDENCE &amp; ASSURANCE'!J47="","",'07 - EVIDENCE &amp; ASSURANCE'!J47),"")</f>
        <v/>
      </c>
      <c r="AI225" t="str">
        <f>IF('07 - EVIDENCE &amp; ASSURANCE'!A47&lt;&gt;"",IF('07 - EVIDENCE &amp; ASSURANCE'!C47="","",'07 - EVIDENCE &amp; ASSURANCE'!C47),"")</f>
        <v/>
      </c>
      <c r="AJ225" t="str">
        <f>IF('07 - EVIDENCE &amp; ASSURANCE'!A47&lt;&gt;"","07 - EVIDENCE &amp; ASSURANCE row 47","")</f>
        <v/>
      </c>
      <c r="AK225">
        <f>IF(AND('07 - EVIDENCE &amp; ASSURANCE'!A47&lt;&gt;"",OR('07 - EVIDENCE &amp; ASSURANCE'!C47&lt;&gt;"Closed",'07 - EVIDENCE &amp; ASSURANCE'!G47&lt;&gt;""),OR(AC225&lt;&gt;"",AD225&lt;&gt;"")),IF(Y225="Critical",1,IF(Y225="Review",2,3))*100000000+IF(ISNUMBER(AF225),AF225,99999)*1000+ROW(),999999999999)</f>
        <v>999999999999</v>
      </c>
      <c r="AL225">
        <f t="shared" si="23"/>
        <v>999999999999</v>
      </c>
      <c r="AM225">
        <f t="shared" si="20"/>
        <v>999999999999</v>
      </c>
      <c r="AN225">
        <f t="shared" si="24"/>
        <v>999999999999</v>
      </c>
      <c r="AO225">
        <f t="shared" si="25"/>
        <v>999999999999</v>
      </c>
      <c r="AP225">
        <f t="shared" si="22"/>
        <v>999999999999</v>
      </c>
      <c r="AQ225">
        <f t="shared" si="21"/>
        <v>999999999999</v>
      </c>
      <c r="AR225">
        <f t="shared" si="26"/>
        <v>0</v>
      </c>
    </row>
    <row r="226" spans="25:44">
      <c r="Y226" t="str">
        <f>IF('07 - EVIDENCE &amp; ASSURANCE'!A48&lt;&gt;"",IF('07 - EVIDENCE &amp; ASSURANCE'!F48="","",'07 - EVIDENCE &amp; ASSURANCE'!F48),"")</f>
        <v/>
      </c>
      <c r="Z226" t="str">
        <f>IF('07 - EVIDENCE &amp; ASSURANCE'!A48&lt;&gt;"","Assurance","")</f>
        <v/>
      </c>
      <c r="AA226" t="str">
        <f>IF('07 - EVIDENCE &amp; ASSURANCE'!A48&lt;&gt;"",IF('07 - EVIDENCE &amp; ASSURANCE'!A48="","",'07 - EVIDENCE &amp; ASSURANCE'!A48),"")</f>
        <v/>
      </c>
      <c r="AB226" t="str">
        <f>IF('07 - EVIDENCE &amp; ASSURANCE'!A48&lt;&gt;"",IF('07 - EVIDENCE &amp; ASSURANCE'!B48="","",'07 - EVIDENCE &amp; ASSURANCE'!B48),"")</f>
        <v/>
      </c>
      <c r="AC226" t="str">
        <f>IF('07 - EVIDENCE &amp; ASSURANCE'!A48&lt;&gt;"",IF('07 - EVIDENCE &amp; ASSURANCE'!G48="","",'07 - EVIDENCE &amp; ASSURANCE'!G48),"")</f>
        <v/>
      </c>
      <c r="AD226" t="str">
        <f>IF('07 - EVIDENCE &amp; ASSURANCE'!A48&lt;&gt;"",IF('07 - EVIDENCE &amp; ASSURANCE'!H48="","",'07 - EVIDENCE &amp; ASSURANCE'!H48),"")</f>
        <v/>
      </c>
      <c r="AE226" t="str">
        <f>IF('07 - EVIDENCE &amp; ASSURANCE'!A48&lt;&gt;"",IF('07 - EVIDENCE &amp; ASSURANCE'!D48="","",'07 - EVIDENCE &amp; ASSURANCE'!D48),"")</f>
        <v/>
      </c>
      <c r="AF226" s="17" t="str">
        <f>IF('07 - EVIDENCE &amp; ASSURANCE'!A48&lt;&gt;"",IF('07 - EVIDENCE &amp; ASSURANCE'!E48="","",'07 - EVIDENCE &amp; ASSURANCE'!E48),"")</f>
        <v/>
      </c>
      <c r="AG226" t="str">
        <f>IF('07 - EVIDENCE &amp; ASSURANCE'!A48&lt;&gt;"",IF('07 - EVIDENCE &amp; ASSURANCE'!I48="","",'07 - EVIDENCE &amp; ASSURANCE'!I48),"")</f>
        <v/>
      </c>
      <c r="AH226" t="str">
        <f>IF('07 - EVIDENCE &amp; ASSURANCE'!A48&lt;&gt;"",IF('07 - EVIDENCE &amp; ASSURANCE'!J48="","",'07 - EVIDENCE &amp; ASSURANCE'!J48),"")</f>
        <v/>
      </c>
      <c r="AI226" t="str">
        <f>IF('07 - EVIDENCE &amp; ASSURANCE'!A48&lt;&gt;"",IF('07 - EVIDENCE &amp; ASSURANCE'!C48="","",'07 - EVIDENCE &amp; ASSURANCE'!C48),"")</f>
        <v/>
      </c>
      <c r="AJ226" t="str">
        <f>IF('07 - EVIDENCE &amp; ASSURANCE'!A48&lt;&gt;"","07 - EVIDENCE &amp; ASSURANCE row 48","")</f>
        <v/>
      </c>
      <c r="AK226">
        <f>IF(AND('07 - EVIDENCE &amp; ASSURANCE'!A48&lt;&gt;"",OR('07 - EVIDENCE &amp; ASSURANCE'!C48&lt;&gt;"Closed",'07 - EVIDENCE &amp; ASSURANCE'!G48&lt;&gt;""),OR(AC226&lt;&gt;"",AD226&lt;&gt;"")),IF(Y226="Critical",1,IF(Y226="Review",2,3))*100000000+IF(ISNUMBER(AF226),AF226,99999)*1000+ROW(),999999999999)</f>
        <v>999999999999</v>
      </c>
      <c r="AL226">
        <f t="shared" si="23"/>
        <v>999999999999</v>
      </c>
      <c r="AM226">
        <f t="shared" si="20"/>
        <v>999999999999</v>
      </c>
      <c r="AN226">
        <f t="shared" si="24"/>
        <v>999999999999</v>
      </c>
      <c r="AO226">
        <f t="shared" si="25"/>
        <v>999999999999</v>
      </c>
      <c r="AP226">
        <f t="shared" si="22"/>
        <v>999999999999</v>
      </c>
      <c r="AQ226">
        <f t="shared" si="21"/>
        <v>999999999999</v>
      </c>
      <c r="AR226">
        <f t="shared" si="26"/>
        <v>0</v>
      </c>
    </row>
    <row r="227" spans="25:44">
      <c r="Y227" t="str">
        <f>IF('07 - EVIDENCE &amp; ASSURANCE'!A49&lt;&gt;"",IF('07 - EVIDENCE &amp; ASSURANCE'!F49="","",'07 - EVIDENCE &amp; ASSURANCE'!F49),"")</f>
        <v/>
      </c>
      <c r="Z227" t="str">
        <f>IF('07 - EVIDENCE &amp; ASSURANCE'!A49&lt;&gt;"","Assurance","")</f>
        <v/>
      </c>
      <c r="AA227" t="str">
        <f>IF('07 - EVIDENCE &amp; ASSURANCE'!A49&lt;&gt;"",IF('07 - EVIDENCE &amp; ASSURANCE'!A49="","",'07 - EVIDENCE &amp; ASSURANCE'!A49),"")</f>
        <v/>
      </c>
      <c r="AB227" t="str">
        <f>IF('07 - EVIDENCE &amp; ASSURANCE'!A49&lt;&gt;"",IF('07 - EVIDENCE &amp; ASSURANCE'!B49="","",'07 - EVIDENCE &amp; ASSURANCE'!B49),"")</f>
        <v/>
      </c>
      <c r="AC227" t="str">
        <f>IF('07 - EVIDENCE &amp; ASSURANCE'!A49&lt;&gt;"",IF('07 - EVIDENCE &amp; ASSURANCE'!G49="","",'07 - EVIDENCE &amp; ASSURANCE'!G49),"")</f>
        <v/>
      </c>
      <c r="AD227" t="str">
        <f>IF('07 - EVIDENCE &amp; ASSURANCE'!A49&lt;&gt;"",IF('07 - EVIDENCE &amp; ASSURANCE'!H49="","",'07 - EVIDENCE &amp; ASSURANCE'!H49),"")</f>
        <v/>
      </c>
      <c r="AE227" t="str">
        <f>IF('07 - EVIDENCE &amp; ASSURANCE'!A49&lt;&gt;"",IF('07 - EVIDENCE &amp; ASSURANCE'!D49="","",'07 - EVIDENCE &amp; ASSURANCE'!D49),"")</f>
        <v/>
      </c>
      <c r="AF227" s="17" t="str">
        <f>IF('07 - EVIDENCE &amp; ASSURANCE'!A49&lt;&gt;"",IF('07 - EVIDENCE &amp; ASSURANCE'!E49="","",'07 - EVIDENCE &amp; ASSURANCE'!E49),"")</f>
        <v/>
      </c>
      <c r="AG227" t="str">
        <f>IF('07 - EVIDENCE &amp; ASSURANCE'!A49&lt;&gt;"",IF('07 - EVIDENCE &amp; ASSURANCE'!I49="","",'07 - EVIDENCE &amp; ASSURANCE'!I49),"")</f>
        <v/>
      </c>
      <c r="AH227" t="str">
        <f>IF('07 - EVIDENCE &amp; ASSURANCE'!A49&lt;&gt;"",IF('07 - EVIDENCE &amp; ASSURANCE'!J49="","",'07 - EVIDENCE &amp; ASSURANCE'!J49),"")</f>
        <v/>
      </c>
      <c r="AI227" t="str">
        <f>IF('07 - EVIDENCE &amp; ASSURANCE'!A49&lt;&gt;"",IF('07 - EVIDENCE &amp; ASSURANCE'!C49="","",'07 - EVIDENCE &amp; ASSURANCE'!C49),"")</f>
        <v/>
      </c>
      <c r="AJ227" t="str">
        <f>IF('07 - EVIDENCE &amp; ASSURANCE'!A49&lt;&gt;"","07 - EVIDENCE &amp; ASSURANCE row 49","")</f>
        <v/>
      </c>
      <c r="AK227">
        <f>IF(AND('07 - EVIDENCE &amp; ASSURANCE'!A49&lt;&gt;"",OR('07 - EVIDENCE &amp; ASSURANCE'!C49&lt;&gt;"Closed",'07 - EVIDENCE &amp; ASSURANCE'!G49&lt;&gt;""),OR(AC227&lt;&gt;"",AD227&lt;&gt;"")),IF(Y227="Critical",1,IF(Y227="Review",2,3))*100000000+IF(ISNUMBER(AF227),AF227,99999)*1000+ROW(),999999999999)</f>
        <v>999999999999</v>
      </c>
      <c r="AL227">
        <f t="shared" si="23"/>
        <v>999999999999</v>
      </c>
      <c r="AM227">
        <f t="shared" si="20"/>
        <v>999999999999</v>
      </c>
      <c r="AN227">
        <f t="shared" si="24"/>
        <v>999999999999</v>
      </c>
      <c r="AO227">
        <f t="shared" si="25"/>
        <v>999999999999</v>
      </c>
      <c r="AP227">
        <f t="shared" si="22"/>
        <v>999999999999</v>
      </c>
      <c r="AQ227">
        <f t="shared" si="21"/>
        <v>999999999999</v>
      </c>
      <c r="AR227">
        <f t="shared" si="26"/>
        <v>0</v>
      </c>
    </row>
    <row r="228" spans="25:44">
      <c r="Y228" t="str">
        <f>IF('07 - EVIDENCE &amp; ASSURANCE'!A50&lt;&gt;"",IF('07 - EVIDENCE &amp; ASSURANCE'!F50="","",'07 - EVIDENCE &amp; ASSURANCE'!F50),"")</f>
        <v/>
      </c>
      <c r="Z228" t="str">
        <f>IF('07 - EVIDENCE &amp; ASSURANCE'!A50&lt;&gt;"","Assurance","")</f>
        <v/>
      </c>
      <c r="AA228" t="str">
        <f>IF('07 - EVIDENCE &amp; ASSURANCE'!A50&lt;&gt;"",IF('07 - EVIDENCE &amp; ASSURANCE'!A50="","",'07 - EVIDENCE &amp; ASSURANCE'!A50),"")</f>
        <v/>
      </c>
      <c r="AB228" t="str">
        <f>IF('07 - EVIDENCE &amp; ASSURANCE'!A50&lt;&gt;"",IF('07 - EVIDENCE &amp; ASSURANCE'!B50="","",'07 - EVIDENCE &amp; ASSURANCE'!B50),"")</f>
        <v/>
      </c>
      <c r="AC228" t="str">
        <f>IF('07 - EVIDENCE &amp; ASSURANCE'!A50&lt;&gt;"",IF('07 - EVIDENCE &amp; ASSURANCE'!G50="","",'07 - EVIDENCE &amp; ASSURANCE'!G50),"")</f>
        <v/>
      </c>
      <c r="AD228" t="str">
        <f>IF('07 - EVIDENCE &amp; ASSURANCE'!A50&lt;&gt;"",IF('07 - EVIDENCE &amp; ASSURANCE'!H50="","",'07 - EVIDENCE &amp; ASSURANCE'!H50),"")</f>
        <v/>
      </c>
      <c r="AE228" t="str">
        <f>IF('07 - EVIDENCE &amp; ASSURANCE'!A50&lt;&gt;"",IF('07 - EVIDENCE &amp; ASSURANCE'!D50="","",'07 - EVIDENCE &amp; ASSURANCE'!D50),"")</f>
        <v/>
      </c>
      <c r="AF228" s="17" t="str">
        <f>IF('07 - EVIDENCE &amp; ASSURANCE'!A50&lt;&gt;"",IF('07 - EVIDENCE &amp; ASSURANCE'!E50="","",'07 - EVIDENCE &amp; ASSURANCE'!E50),"")</f>
        <v/>
      </c>
      <c r="AG228" t="str">
        <f>IF('07 - EVIDENCE &amp; ASSURANCE'!A50&lt;&gt;"",IF('07 - EVIDENCE &amp; ASSURANCE'!I50="","",'07 - EVIDENCE &amp; ASSURANCE'!I50),"")</f>
        <v/>
      </c>
      <c r="AH228" t="str">
        <f>IF('07 - EVIDENCE &amp; ASSURANCE'!A50&lt;&gt;"",IF('07 - EVIDENCE &amp; ASSURANCE'!J50="","",'07 - EVIDENCE &amp; ASSURANCE'!J50),"")</f>
        <v/>
      </c>
      <c r="AI228" t="str">
        <f>IF('07 - EVIDENCE &amp; ASSURANCE'!A50&lt;&gt;"",IF('07 - EVIDENCE &amp; ASSURANCE'!C50="","",'07 - EVIDENCE &amp; ASSURANCE'!C50),"")</f>
        <v/>
      </c>
      <c r="AJ228" t="str">
        <f>IF('07 - EVIDENCE &amp; ASSURANCE'!A50&lt;&gt;"","07 - EVIDENCE &amp; ASSURANCE row 50","")</f>
        <v/>
      </c>
      <c r="AK228">
        <f>IF(AND('07 - EVIDENCE &amp; ASSURANCE'!A50&lt;&gt;"",OR('07 - EVIDENCE &amp; ASSURANCE'!C50&lt;&gt;"Closed",'07 - EVIDENCE &amp; ASSURANCE'!G50&lt;&gt;""),OR(AC228&lt;&gt;"",AD228&lt;&gt;"")),IF(Y228="Critical",1,IF(Y228="Review",2,3))*100000000+IF(ISNUMBER(AF228),AF228,99999)*1000+ROW(),999999999999)</f>
        <v>999999999999</v>
      </c>
      <c r="AL228">
        <f t="shared" si="23"/>
        <v>999999999999</v>
      </c>
      <c r="AM228">
        <f t="shared" si="20"/>
        <v>999999999999</v>
      </c>
      <c r="AN228">
        <f t="shared" si="24"/>
        <v>999999999999</v>
      </c>
      <c r="AO228">
        <f t="shared" si="25"/>
        <v>999999999999</v>
      </c>
      <c r="AP228">
        <f t="shared" si="22"/>
        <v>999999999999</v>
      </c>
      <c r="AQ228">
        <f t="shared" si="21"/>
        <v>999999999999</v>
      </c>
      <c r="AR228">
        <f t="shared" si="26"/>
        <v>0</v>
      </c>
    </row>
    <row r="229" spans="25:44">
      <c r="Y229" t="str">
        <f>IF('07 - EVIDENCE &amp; ASSURANCE'!A51&lt;&gt;"",IF('07 - EVIDENCE &amp; ASSURANCE'!F51="","",'07 - EVIDENCE &amp; ASSURANCE'!F51),"")</f>
        <v/>
      </c>
      <c r="Z229" t="str">
        <f>IF('07 - EVIDENCE &amp; ASSURANCE'!A51&lt;&gt;"","Assurance","")</f>
        <v/>
      </c>
      <c r="AA229" t="str">
        <f>IF('07 - EVIDENCE &amp; ASSURANCE'!A51&lt;&gt;"",IF('07 - EVIDENCE &amp; ASSURANCE'!A51="","",'07 - EVIDENCE &amp; ASSURANCE'!A51),"")</f>
        <v/>
      </c>
      <c r="AB229" t="str">
        <f>IF('07 - EVIDENCE &amp; ASSURANCE'!A51&lt;&gt;"",IF('07 - EVIDENCE &amp; ASSURANCE'!B51="","",'07 - EVIDENCE &amp; ASSURANCE'!B51),"")</f>
        <v/>
      </c>
      <c r="AC229" t="str">
        <f>IF('07 - EVIDENCE &amp; ASSURANCE'!A51&lt;&gt;"",IF('07 - EVIDENCE &amp; ASSURANCE'!G51="","",'07 - EVIDENCE &amp; ASSURANCE'!G51),"")</f>
        <v/>
      </c>
      <c r="AD229" t="str">
        <f>IF('07 - EVIDENCE &amp; ASSURANCE'!A51&lt;&gt;"",IF('07 - EVIDENCE &amp; ASSURANCE'!H51="","",'07 - EVIDENCE &amp; ASSURANCE'!H51),"")</f>
        <v/>
      </c>
      <c r="AE229" t="str">
        <f>IF('07 - EVIDENCE &amp; ASSURANCE'!A51&lt;&gt;"",IF('07 - EVIDENCE &amp; ASSURANCE'!D51="","",'07 - EVIDENCE &amp; ASSURANCE'!D51),"")</f>
        <v/>
      </c>
      <c r="AF229" s="17" t="str">
        <f>IF('07 - EVIDENCE &amp; ASSURANCE'!A51&lt;&gt;"",IF('07 - EVIDENCE &amp; ASSURANCE'!E51="","",'07 - EVIDENCE &amp; ASSURANCE'!E51),"")</f>
        <v/>
      </c>
      <c r="AG229" t="str">
        <f>IF('07 - EVIDENCE &amp; ASSURANCE'!A51&lt;&gt;"",IF('07 - EVIDENCE &amp; ASSURANCE'!I51="","",'07 - EVIDENCE &amp; ASSURANCE'!I51),"")</f>
        <v/>
      </c>
      <c r="AH229" t="str">
        <f>IF('07 - EVIDENCE &amp; ASSURANCE'!A51&lt;&gt;"",IF('07 - EVIDENCE &amp; ASSURANCE'!J51="","",'07 - EVIDENCE &amp; ASSURANCE'!J51),"")</f>
        <v/>
      </c>
      <c r="AI229" t="str">
        <f>IF('07 - EVIDENCE &amp; ASSURANCE'!A51&lt;&gt;"",IF('07 - EVIDENCE &amp; ASSURANCE'!C51="","",'07 - EVIDENCE &amp; ASSURANCE'!C51),"")</f>
        <v/>
      </c>
      <c r="AJ229" t="str">
        <f>IF('07 - EVIDENCE &amp; ASSURANCE'!A51&lt;&gt;"","07 - EVIDENCE &amp; ASSURANCE row 51","")</f>
        <v/>
      </c>
      <c r="AK229">
        <f>IF(AND('07 - EVIDENCE &amp; ASSURANCE'!A51&lt;&gt;"",OR('07 - EVIDENCE &amp; ASSURANCE'!C51&lt;&gt;"Closed",'07 - EVIDENCE &amp; ASSURANCE'!G51&lt;&gt;""),OR(AC229&lt;&gt;"",AD229&lt;&gt;"")),IF(Y229="Critical",1,IF(Y229="Review",2,3))*100000000+IF(ISNUMBER(AF229),AF229,99999)*1000+ROW(),999999999999)</f>
        <v>999999999999</v>
      </c>
      <c r="AL229">
        <f t="shared" si="23"/>
        <v>999999999999</v>
      </c>
      <c r="AM229">
        <f t="shared" ref="AM229:AM292" si="27">IF(AND(ISNUMBER(AK229),OR(Z229="Assurance",AND(Z229="Adoption",AC229&lt;&gt;""),FALSE)),AK229,999999999999)</f>
        <v>999999999999</v>
      </c>
      <c r="AN229">
        <f t="shared" si="24"/>
        <v>999999999999</v>
      </c>
      <c r="AO229">
        <f t="shared" si="25"/>
        <v>999999999999</v>
      </c>
      <c r="AP229">
        <f t="shared" si="22"/>
        <v>999999999999</v>
      </c>
      <c r="AQ229">
        <f t="shared" si="21"/>
        <v>999999999999</v>
      </c>
      <c r="AR229">
        <f t="shared" si="26"/>
        <v>0</v>
      </c>
    </row>
    <row r="230" spans="25:44">
      <c r="Y230" t="str">
        <f>IF('07 - EVIDENCE &amp; ASSURANCE'!A52&lt;&gt;"",IF('07 - EVIDENCE &amp; ASSURANCE'!F52="","",'07 - EVIDENCE &amp; ASSURANCE'!F52),"")</f>
        <v/>
      </c>
      <c r="Z230" t="str">
        <f>IF('07 - EVIDENCE &amp; ASSURANCE'!A52&lt;&gt;"","Assurance","")</f>
        <v/>
      </c>
      <c r="AA230" t="str">
        <f>IF('07 - EVIDENCE &amp; ASSURANCE'!A52&lt;&gt;"",IF('07 - EVIDENCE &amp; ASSURANCE'!A52="","",'07 - EVIDENCE &amp; ASSURANCE'!A52),"")</f>
        <v/>
      </c>
      <c r="AB230" t="str">
        <f>IF('07 - EVIDENCE &amp; ASSURANCE'!A52&lt;&gt;"",IF('07 - EVIDENCE &amp; ASSURANCE'!B52="","",'07 - EVIDENCE &amp; ASSURANCE'!B52),"")</f>
        <v/>
      </c>
      <c r="AC230" t="str">
        <f>IF('07 - EVIDENCE &amp; ASSURANCE'!A52&lt;&gt;"",IF('07 - EVIDENCE &amp; ASSURANCE'!G52="","",'07 - EVIDENCE &amp; ASSURANCE'!G52),"")</f>
        <v/>
      </c>
      <c r="AD230" t="str">
        <f>IF('07 - EVIDENCE &amp; ASSURANCE'!A52&lt;&gt;"",IF('07 - EVIDENCE &amp; ASSURANCE'!H52="","",'07 - EVIDENCE &amp; ASSURANCE'!H52),"")</f>
        <v/>
      </c>
      <c r="AE230" t="str">
        <f>IF('07 - EVIDENCE &amp; ASSURANCE'!A52&lt;&gt;"",IF('07 - EVIDENCE &amp; ASSURANCE'!D52="","",'07 - EVIDENCE &amp; ASSURANCE'!D52),"")</f>
        <v/>
      </c>
      <c r="AF230" s="17" t="str">
        <f>IF('07 - EVIDENCE &amp; ASSURANCE'!A52&lt;&gt;"",IF('07 - EVIDENCE &amp; ASSURANCE'!E52="","",'07 - EVIDENCE &amp; ASSURANCE'!E52),"")</f>
        <v/>
      </c>
      <c r="AG230" t="str">
        <f>IF('07 - EVIDENCE &amp; ASSURANCE'!A52&lt;&gt;"",IF('07 - EVIDENCE &amp; ASSURANCE'!I52="","",'07 - EVIDENCE &amp; ASSURANCE'!I52),"")</f>
        <v/>
      </c>
      <c r="AH230" t="str">
        <f>IF('07 - EVIDENCE &amp; ASSURANCE'!A52&lt;&gt;"",IF('07 - EVIDENCE &amp; ASSURANCE'!J52="","",'07 - EVIDENCE &amp; ASSURANCE'!J52),"")</f>
        <v/>
      </c>
      <c r="AI230" t="str">
        <f>IF('07 - EVIDENCE &amp; ASSURANCE'!A52&lt;&gt;"",IF('07 - EVIDENCE &amp; ASSURANCE'!C52="","",'07 - EVIDENCE &amp; ASSURANCE'!C52),"")</f>
        <v/>
      </c>
      <c r="AJ230" t="str">
        <f>IF('07 - EVIDENCE &amp; ASSURANCE'!A52&lt;&gt;"","07 - EVIDENCE &amp; ASSURANCE row 52","")</f>
        <v/>
      </c>
      <c r="AK230">
        <f>IF(AND('07 - EVIDENCE &amp; ASSURANCE'!A52&lt;&gt;"",OR('07 - EVIDENCE &amp; ASSURANCE'!C52&lt;&gt;"Closed",'07 - EVIDENCE &amp; ASSURANCE'!G52&lt;&gt;""),OR(AC230&lt;&gt;"",AD230&lt;&gt;"")),IF(Y230="Critical",1,IF(Y230="Review",2,3))*100000000+IF(ISNUMBER(AF230),AF230,99999)*1000+ROW(),999999999999)</f>
        <v>999999999999</v>
      </c>
      <c r="AL230">
        <f t="shared" si="23"/>
        <v>999999999999</v>
      </c>
      <c r="AM230">
        <f t="shared" si="27"/>
        <v>999999999999</v>
      </c>
      <c r="AN230">
        <f t="shared" si="24"/>
        <v>999999999999</v>
      </c>
      <c r="AO230">
        <f t="shared" si="25"/>
        <v>999999999999</v>
      </c>
      <c r="AP230">
        <f t="shared" si="22"/>
        <v>999999999999</v>
      </c>
      <c r="AQ230">
        <f t="shared" si="21"/>
        <v>999999999999</v>
      </c>
      <c r="AR230">
        <f t="shared" si="26"/>
        <v>0</v>
      </c>
    </row>
    <row r="231" spans="25:44">
      <c r="Y231" t="str">
        <f>IF('07 - EVIDENCE &amp; ASSURANCE'!A53&lt;&gt;"",IF('07 - EVIDENCE &amp; ASSURANCE'!F53="","",'07 - EVIDENCE &amp; ASSURANCE'!F53),"")</f>
        <v/>
      </c>
      <c r="Z231" t="str">
        <f>IF('07 - EVIDENCE &amp; ASSURANCE'!A53&lt;&gt;"","Assurance","")</f>
        <v/>
      </c>
      <c r="AA231" t="str">
        <f>IF('07 - EVIDENCE &amp; ASSURANCE'!A53&lt;&gt;"",IF('07 - EVIDENCE &amp; ASSURANCE'!A53="","",'07 - EVIDENCE &amp; ASSURANCE'!A53),"")</f>
        <v/>
      </c>
      <c r="AB231" t="str">
        <f>IF('07 - EVIDENCE &amp; ASSURANCE'!A53&lt;&gt;"",IF('07 - EVIDENCE &amp; ASSURANCE'!B53="","",'07 - EVIDENCE &amp; ASSURANCE'!B53),"")</f>
        <v/>
      </c>
      <c r="AC231" t="str">
        <f>IF('07 - EVIDENCE &amp; ASSURANCE'!A53&lt;&gt;"",IF('07 - EVIDENCE &amp; ASSURANCE'!G53="","",'07 - EVIDENCE &amp; ASSURANCE'!G53),"")</f>
        <v/>
      </c>
      <c r="AD231" t="str">
        <f>IF('07 - EVIDENCE &amp; ASSURANCE'!A53&lt;&gt;"",IF('07 - EVIDENCE &amp; ASSURANCE'!H53="","",'07 - EVIDENCE &amp; ASSURANCE'!H53),"")</f>
        <v/>
      </c>
      <c r="AE231" t="str">
        <f>IF('07 - EVIDENCE &amp; ASSURANCE'!A53&lt;&gt;"",IF('07 - EVIDENCE &amp; ASSURANCE'!D53="","",'07 - EVIDENCE &amp; ASSURANCE'!D53),"")</f>
        <v/>
      </c>
      <c r="AF231" s="17" t="str">
        <f>IF('07 - EVIDENCE &amp; ASSURANCE'!A53&lt;&gt;"",IF('07 - EVIDENCE &amp; ASSURANCE'!E53="","",'07 - EVIDENCE &amp; ASSURANCE'!E53),"")</f>
        <v/>
      </c>
      <c r="AG231" t="str">
        <f>IF('07 - EVIDENCE &amp; ASSURANCE'!A53&lt;&gt;"",IF('07 - EVIDENCE &amp; ASSURANCE'!I53="","",'07 - EVIDENCE &amp; ASSURANCE'!I53),"")</f>
        <v/>
      </c>
      <c r="AH231" t="str">
        <f>IF('07 - EVIDENCE &amp; ASSURANCE'!A53&lt;&gt;"",IF('07 - EVIDENCE &amp; ASSURANCE'!J53="","",'07 - EVIDENCE &amp; ASSURANCE'!J53),"")</f>
        <v/>
      </c>
      <c r="AI231" t="str">
        <f>IF('07 - EVIDENCE &amp; ASSURANCE'!A53&lt;&gt;"",IF('07 - EVIDENCE &amp; ASSURANCE'!C53="","",'07 - EVIDENCE &amp; ASSURANCE'!C53),"")</f>
        <v/>
      </c>
      <c r="AJ231" t="str">
        <f>IF('07 - EVIDENCE &amp; ASSURANCE'!A53&lt;&gt;"","07 - EVIDENCE &amp; ASSURANCE row 53","")</f>
        <v/>
      </c>
      <c r="AK231">
        <f>IF(AND('07 - EVIDENCE &amp; ASSURANCE'!A53&lt;&gt;"",OR('07 - EVIDENCE &amp; ASSURANCE'!C53&lt;&gt;"Closed",'07 - EVIDENCE &amp; ASSURANCE'!G53&lt;&gt;""),OR(AC231&lt;&gt;"",AD231&lt;&gt;"")),IF(Y231="Critical",1,IF(Y231="Review",2,3))*100000000+IF(ISNUMBER(AF231),AF231,99999)*1000+ROW(),999999999999)</f>
        <v>999999999999</v>
      </c>
      <c r="AL231">
        <f t="shared" si="23"/>
        <v>999999999999</v>
      </c>
      <c r="AM231">
        <f t="shared" si="27"/>
        <v>999999999999</v>
      </c>
      <c r="AN231">
        <f t="shared" si="24"/>
        <v>999999999999</v>
      </c>
      <c r="AO231">
        <f t="shared" si="25"/>
        <v>999999999999</v>
      </c>
      <c r="AP231">
        <f t="shared" si="22"/>
        <v>999999999999</v>
      </c>
      <c r="AQ231">
        <f t="shared" si="21"/>
        <v>999999999999</v>
      </c>
      <c r="AR231">
        <f t="shared" si="26"/>
        <v>0</v>
      </c>
    </row>
    <row r="232" spans="25:44">
      <c r="Y232" t="str">
        <f>IF('07 - EVIDENCE &amp; ASSURANCE'!A54&lt;&gt;"",IF('07 - EVIDENCE &amp; ASSURANCE'!F54="","",'07 - EVIDENCE &amp; ASSURANCE'!F54),"")</f>
        <v/>
      </c>
      <c r="Z232" t="str">
        <f>IF('07 - EVIDENCE &amp; ASSURANCE'!A54&lt;&gt;"","Assurance","")</f>
        <v/>
      </c>
      <c r="AA232" t="str">
        <f>IF('07 - EVIDENCE &amp; ASSURANCE'!A54&lt;&gt;"",IF('07 - EVIDENCE &amp; ASSURANCE'!A54="","",'07 - EVIDENCE &amp; ASSURANCE'!A54),"")</f>
        <v/>
      </c>
      <c r="AB232" t="str">
        <f>IF('07 - EVIDENCE &amp; ASSURANCE'!A54&lt;&gt;"",IF('07 - EVIDENCE &amp; ASSURANCE'!B54="","",'07 - EVIDENCE &amp; ASSURANCE'!B54),"")</f>
        <v/>
      </c>
      <c r="AC232" t="str">
        <f>IF('07 - EVIDENCE &amp; ASSURANCE'!A54&lt;&gt;"",IF('07 - EVIDENCE &amp; ASSURANCE'!G54="","",'07 - EVIDENCE &amp; ASSURANCE'!G54),"")</f>
        <v/>
      </c>
      <c r="AD232" t="str">
        <f>IF('07 - EVIDENCE &amp; ASSURANCE'!A54&lt;&gt;"",IF('07 - EVIDENCE &amp; ASSURANCE'!H54="","",'07 - EVIDENCE &amp; ASSURANCE'!H54),"")</f>
        <v/>
      </c>
      <c r="AE232" t="str">
        <f>IF('07 - EVIDENCE &amp; ASSURANCE'!A54&lt;&gt;"",IF('07 - EVIDENCE &amp; ASSURANCE'!D54="","",'07 - EVIDENCE &amp; ASSURANCE'!D54),"")</f>
        <v/>
      </c>
      <c r="AF232" s="17" t="str">
        <f>IF('07 - EVIDENCE &amp; ASSURANCE'!A54&lt;&gt;"",IF('07 - EVIDENCE &amp; ASSURANCE'!E54="","",'07 - EVIDENCE &amp; ASSURANCE'!E54),"")</f>
        <v/>
      </c>
      <c r="AG232" t="str">
        <f>IF('07 - EVIDENCE &amp; ASSURANCE'!A54&lt;&gt;"",IF('07 - EVIDENCE &amp; ASSURANCE'!I54="","",'07 - EVIDENCE &amp; ASSURANCE'!I54),"")</f>
        <v/>
      </c>
      <c r="AH232" t="str">
        <f>IF('07 - EVIDENCE &amp; ASSURANCE'!A54&lt;&gt;"",IF('07 - EVIDENCE &amp; ASSURANCE'!J54="","",'07 - EVIDENCE &amp; ASSURANCE'!J54),"")</f>
        <v/>
      </c>
      <c r="AI232" t="str">
        <f>IF('07 - EVIDENCE &amp; ASSURANCE'!A54&lt;&gt;"",IF('07 - EVIDENCE &amp; ASSURANCE'!C54="","",'07 - EVIDENCE &amp; ASSURANCE'!C54),"")</f>
        <v/>
      </c>
      <c r="AJ232" t="str">
        <f>IF('07 - EVIDENCE &amp; ASSURANCE'!A54&lt;&gt;"","07 - EVIDENCE &amp; ASSURANCE row 54","")</f>
        <v/>
      </c>
      <c r="AK232">
        <f>IF(AND('07 - EVIDENCE &amp; ASSURANCE'!A54&lt;&gt;"",OR('07 - EVIDENCE &amp; ASSURANCE'!C54&lt;&gt;"Closed",'07 - EVIDENCE &amp; ASSURANCE'!G54&lt;&gt;""),OR(AC232&lt;&gt;"",AD232&lt;&gt;"")),IF(Y232="Critical",1,IF(Y232="Review",2,3))*100000000+IF(ISNUMBER(AF232),AF232,99999)*1000+ROW(),999999999999)</f>
        <v>999999999999</v>
      </c>
      <c r="AL232">
        <f t="shared" si="23"/>
        <v>999999999999</v>
      </c>
      <c r="AM232">
        <f t="shared" si="27"/>
        <v>999999999999</v>
      </c>
      <c r="AN232">
        <f t="shared" si="24"/>
        <v>999999999999</v>
      </c>
      <c r="AO232">
        <f t="shared" si="25"/>
        <v>999999999999</v>
      </c>
      <c r="AP232">
        <f t="shared" si="22"/>
        <v>999999999999</v>
      </c>
      <c r="AQ232">
        <f t="shared" si="21"/>
        <v>999999999999</v>
      </c>
      <c r="AR232">
        <f t="shared" si="26"/>
        <v>0</v>
      </c>
    </row>
    <row r="233" spans="25:44">
      <c r="Y233" t="str">
        <f>IF('07 - EVIDENCE &amp; ASSURANCE'!A55&lt;&gt;"",IF('07 - EVIDENCE &amp; ASSURANCE'!F55="","",'07 - EVIDENCE &amp; ASSURANCE'!F55),"")</f>
        <v/>
      </c>
      <c r="Z233" t="str">
        <f>IF('07 - EVIDENCE &amp; ASSURANCE'!A55&lt;&gt;"","Assurance","")</f>
        <v/>
      </c>
      <c r="AA233" t="str">
        <f>IF('07 - EVIDENCE &amp; ASSURANCE'!A55&lt;&gt;"",IF('07 - EVIDENCE &amp; ASSURANCE'!A55="","",'07 - EVIDENCE &amp; ASSURANCE'!A55),"")</f>
        <v/>
      </c>
      <c r="AB233" t="str">
        <f>IF('07 - EVIDENCE &amp; ASSURANCE'!A55&lt;&gt;"",IF('07 - EVIDENCE &amp; ASSURANCE'!B55="","",'07 - EVIDENCE &amp; ASSURANCE'!B55),"")</f>
        <v/>
      </c>
      <c r="AC233" t="str">
        <f>IF('07 - EVIDENCE &amp; ASSURANCE'!A55&lt;&gt;"",IF('07 - EVIDENCE &amp; ASSURANCE'!G55="","",'07 - EVIDENCE &amp; ASSURANCE'!G55),"")</f>
        <v/>
      </c>
      <c r="AD233" t="str">
        <f>IF('07 - EVIDENCE &amp; ASSURANCE'!A55&lt;&gt;"",IF('07 - EVIDENCE &amp; ASSURANCE'!H55="","",'07 - EVIDENCE &amp; ASSURANCE'!H55),"")</f>
        <v/>
      </c>
      <c r="AE233" t="str">
        <f>IF('07 - EVIDENCE &amp; ASSURANCE'!A55&lt;&gt;"",IF('07 - EVIDENCE &amp; ASSURANCE'!D55="","",'07 - EVIDENCE &amp; ASSURANCE'!D55),"")</f>
        <v/>
      </c>
      <c r="AF233" s="17" t="str">
        <f>IF('07 - EVIDENCE &amp; ASSURANCE'!A55&lt;&gt;"",IF('07 - EVIDENCE &amp; ASSURANCE'!E55="","",'07 - EVIDENCE &amp; ASSURANCE'!E55),"")</f>
        <v/>
      </c>
      <c r="AG233" t="str">
        <f>IF('07 - EVIDENCE &amp; ASSURANCE'!A55&lt;&gt;"",IF('07 - EVIDENCE &amp; ASSURANCE'!I55="","",'07 - EVIDENCE &amp; ASSURANCE'!I55),"")</f>
        <v/>
      </c>
      <c r="AH233" t="str">
        <f>IF('07 - EVIDENCE &amp; ASSURANCE'!A55&lt;&gt;"",IF('07 - EVIDENCE &amp; ASSURANCE'!J55="","",'07 - EVIDENCE &amp; ASSURANCE'!J55),"")</f>
        <v/>
      </c>
      <c r="AI233" t="str">
        <f>IF('07 - EVIDENCE &amp; ASSURANCE'!A55&lt;&gt;"",IF('07 - EVIDENCE &amp; ASSURANCE'!C55="","",'07 - EVIDENCE &amp; ASSURANCE'!C55),"")</f>
        <v/>
      </c>
      <c r="AJ233" t="str">
        <f>IF('07 - EVIDENCE &amp; ASSURANCE'!A55&lt;&gt;"","07 - EVIDENCE &amp; ASSURANCE row 55","")</f>
        <v/>
      </c>
      <c r="AK233">
        <f>IF(AND('07 - EVIDENCE &amp; ASSURANCE'!A55&lt;&gt;"",OR('07 - EVIDENCE &amp; ASSURANCE'!C55&lt;&gt;"Closed",'07 - EVIDENCE &amp; ASSURANCE'!G55&lt;&gt;""),OR(AC233&lt;&gt;"",AD233&lt;&gt;"")),IF(Y233="Critical",1,IF(Y233="Review",2,3))*100000000+IF(ISNUMBER(AF233),AF233,99999)*1000+ROW(),999999999999)</f>
        <v>999999999999</v>
      </c>
      <c r="AL233">
        <f t="shared" si="23"/>
        <v>999999999999</v>
      </c>
      <c r="AM233">
        <f t="shared" si="27"/>
        <v>999999999999</v>
      </c>
      <c r="AN233">
        <f t="shared" si="24"/>
        <v>999999999999</v>
      </c>
      <c r="AO233">
        <f t="shared" si="25"/>
        <v>999999999999</v>
      </c>
      <c r="AP233">
        <f t="shared" si="22"/>
        <v>999999999999</v>
      </c>
      <c r="AQ233">
        <f t="shared" si="21"/>
        <v>999999999999</v>
      </c>
      <c r="AR233">
        <f t="shared" si="26"/>
        <v>0</v>
      </c>
    </row>
    <row r="234" spans="25:44">
      <c r="Y234" t="str">
        <f>IF('07 - EVIDENCE &amp; ASSURANCE'!A56&lt;&gt;"",IF('07 - EVIDENCE &amp; ASSURANCE'!F56="","",'07 - EVIDENCE &amp; ASSURANCE'!F56),"")</f>
        <v/>
      </c>
      <c r="Z234" t="str">
        <f>IF('07 - EVIDENCE &amp; ASSURANCE'!A56&lt;&gt;"","Assurance","")</f>
        <v/>
      </c>
      <c r="AA234" t="str">
        <f>IF('07 - EVIDENCE &amp; ASSURANCE'!A56&lt;&gt;"",IF('07 - EVIDENCE &amp; ASSURANCE'!A56="","",'07 - EVIDENCE &amp; ASSURANCE'!A56),"")</f>
        <v/>
      </c>
      <c r="AB234" t="str">
        <f>IF('07 - EVIDENCE &amp; ASSURANCE'!A56&lt;&gt;"",IF('07 - EVIDENCE &amp; ASSURANCE'!B56="","",'07 - EVIDENCE &amp; ASSURANCE'!B56),"")</f>
        <v/>
      </c>
      <c r="AC234" t="str">
        <f>IF('07 - EVIDENCE &amp; ASSURANCE'!A56&lt;&gt;"",IF('07 - EVIDENCE &amp; ASSURANCE'!G56="","",'07 - EVIDENCE &amp; ASSURANCE'!G56),"")</f>
        <v/>
      </c>
      <c r="AD234" t="str">
        <f>IF('07 - EVIDENCE &amp; ASSURANCE'!A56&lt;&gt;"",IF('07 - EVIDENCE &amp; ASSURANCE'!H56="","",'07 - EVIDENCE &amp; ASSURANCE'!H56),"")</f>
        <v/>
      </c>
      <c r="AE234" t="str">
        <f>IF('07 - EVIDENCE &amp; ASSURANCE'!A56&lt;&gt;"",IF('07 - EVIDENCE &amp; ASSURANCE'!D56="","",'07 - EVIDENCE &amp; ASSURANCE'!D56),"")</f>
        <v/>
      </c>
      <c r="AF234" s="17" t="str">
        <f>IF('07 - EVIDENCE &amp; ASSURANCE'!A56&lt;&gt;"",IF('07 - EVIDENCE &amp; ASSURANCE'!E56="","",'07 - EVIDENCE &amp; ASSURANCE'!E56),"")</f>
        <v/>
      </c>
      <c r="AG234" t="str">
        <f>IF('07 - EVIDENCE &amp; ASSURANCE'!A56&lt;&gt;"",IF('07 - EVIDENCE &amp; ASSURANCE'!I56="","",'07 - EVIDENCE &amp; ASSURANCE'!I56),"")</f>
        <v/>
      </c>
      <c r="AH234" t="str">
        <f>IF('07 - EVIDENCE &amp; ASSURANCE'!A56&lt;&gt;"",IF('07 - EVIDENCE &amp; ASSURANCE'!J56="","",'07 - EVIDENCE &amp; ASSURANCE'!J56),"")</f>
        <v/>
      </c>
      <c r="AI234" t="str">
        <f>IF('07 - EVIDENCE &amp; ASSURANCE'!A56&lt;&gt;"",IF('07 - EVIDENCE &amp; ASSURANCE'!C56="","",'07 - EVIDENCE &amp; ASSURANCE'!C56),"")</f>
        <v/>
      </c>
      <c r="AJ234" t="str">
        <f>IF('07 - EVIDENCE &amp; ASSURANCE'!A56&lt;&gt;"","07 - EVIDENCE &amp; ASSURANCE row 56","")</f>
        <v/>
      </c>
      <c r="AK234">
        <f>IF(AND('07 - EVIDENCE &amp; ASSURANCE'!A56&lt;&gt;"",OR('07 - EVIDENCE &amp; ASSURANCE'!C56&lt;&gt;"Closed",'07 - EVIDENCE &amp; ASSURANCE'!G56&lt;&gt;""),OR(AC234&lt;&gt;"",AD234&lt;&gt;"")),IF(Y234="Critical",1,IF(Y234="Review",2,3))*100000000+IF(ISNUMBER(AF234),AF234,99999)*1000+ROW(),999999999999)</f>
        <v>999999999999</v>
      </c>
      <c r="AL234">
        <f t="shared" si="23"/>
        <v>999999999999</v>
      </c>
      <c r="AM234">
        <f t="shared" si="27"/>
        <v>999999999999</v>
      </c>
      <c r="AN234">
        <f t="shared" si="24"/>
        <v>999999999999</v>
      </c>
      <c r="AO234">
        <f t="shared" si="25"/>
        <v>999999999999</v>
      </c>
      <c r="AP234">
        <f t="shared" si="22"/>
        <v>999999999999</v>
      </c>
      <c r="AQ234">
        <f t="shared" si="21"/>
        <v>999999999999</v>
      </c>
      <c r="AR234">
        <f t="shared" si="26"/>
        <v>0</v>
      </c>
    </row>
    <row r="235" spans="25:44">
      <c r="Y235" t="str">
        <f>IF('07 - EVIDENCE &amp; ASSURANCE'!A57&lt;&gt;"",IF('07 - EVIDENCE &amp; ASSURANCE'!F57="","",'07 - EVIDENCE &amp; ASSURANCE'!F57),"")</f>
        <v/>
      </c>
      <c r="Z235" t="str">
        <f>IF('07 - EVIDENCE &amp; ASSURANCE'!A57&lt;&gt;"","Assurance","")</f>
        <v/>
      </c>
      <c r="AA235" t="str">
        <f>IF('07 - EVIDENCE &amp; ASSURANCE'!A57&lt;&gt;"",IF('07 - EVIDENCE &amp; ASSURANCE'!A57="","",'07 - EVIDENCE &amp; ASSURANCE'!A57),"")</f>
        <v/>
      </c>
      <c r="AB235" t="str">
        <f>IF('07 - EVIDENCE &amp; ASSURANCE'!A57&lt;&gt;"",IF('07 - EVIDENCE &amp; ASSURANCE'!B57="","",'07 - EVIDENCE &amp; ASSURANCE'!B57),"")</f>
        <v/>
      </c>
      <c r="AC235" t="str">
        <f>IF('07 - EVIDENCE &amp; ASSURANCE'!A57&lt;&gt;"",IF('07 - EVIDENCE &amp; ASSURANCE'!G57="","",'07 - EVIDENCE &amp; ASSURANCE'!G57),"")</f>
        <v/>
      </c>
      <c r="AD235" t="str">
        <f>IF('07 - EVIDENCE &amp; ASSURANCE'!A57&lt;&gt;"",IF('07 - EVIDENCE &amp; ASSURANCE'!H57="","",'07 - EVIDENCE &amp; ASSURANCE'!H57),"")</f>
        <v/>
      </c>
      <c r="AE235" t="str">
        <f>IF('07 - EVIDENCE &amp; ASSURANCE'!A57&lt;&gt;"",IF('07 - EVIDENCE &amp; ASSURANCE'!D57="","",'07 - EVIDENCE &amp; ASSURANCE'!D57),"")</f>
        <v/>
      </c>
      <c r="AF235" s="17" t="str">
        <f>IF('07 - EVIDENCE &amp; ASSURANCE'!A57&lt;&gt;"",IF('07 - EVIDENCE &amp; ASSURANCE'!E57="","",'07 - EVIDENCE &amp; ASSURANCE'!E57),"")</f>
        <v/>
      </c>
      <c r="AG235" t="str">
        <f>IF('07 - EVIDENCE &amp; ASSURANCE'!A57&lt;&gt;"",IF('07 - EVIDENCE &amp; ASSURANCE'!I57="","",'07 - EVIDENCE &amp; ASSURANCE'!I57),"")</f>
        <v/>
      </c>
      <c r="AH235" t="str">
        <f>IF('07 - EVIDENCE &amp; ASSURANCE'!A57&lt;&gt;"",IF('07 - EVIDENCE &amp; ASSURANCE'!J57="","",'07 - EVIDENCE &amp; ASSURANCE'!J57),"")</f>
        <v/>
      </c>
      <c r="AI235" t="str">
        <f>IF('07 - EVIDENCE &amp; ASSURANCE'!A57&lt;&gt;"",IF('07 - EVIDENCE &amp; ASSURANCE'!C57="","",'07 - EVIDENCE &amp; ASSURANCE'!C57),"")</f>
        <v/>
      </c>
      <c r="AJ235" t="str">
        <f>IF('07 - EVIDENCE &amp; ASSURANCE'!A57&lt;&gt;"","07 - EVIDENCE &amp; ASSURANCE row 57","")</f>
        <v/>
      </c>
      <c r="AK235">
        <f>IF(AND('07 - EVIDENCE &amp; ASSURANCE'!A57&lt;&gt;"",OR('07 - EVIDENCE &amp; ASSURANCE'!C57&lt;&gt;"Closed",'07 - EVIDENCE &amp; ASSURANCE'!G57&lt;&gt;""),OR(AC235&lt;&gt;"",AD235&lt;&gt;"")),IF(Y235="Critical",1,IF(Y235="Review",2,3))*100000000+IF(ISNUMBER(AF235),AF235,99999)*1000+ROW(),999999999999)</f>
        <v>999999999999</v>
      </c>
      <c r="AL235">
        <f t="shared" si="23"/>
        <v>999999999999</v>
      </c>
      <c r="AM235">
        <f t="shared" si="27"/>
        <v>999999999999</v>
      </c>
      <c r="AN235">
        <f t="shared" si="24"/>
        <v>999999999999</v>
      </c>
      <c r="AO235">
        <f t="shared" si="25"/>
        <v>999999999999</v>
      </c>
      <c r="AP235">
        <f t="shared" si="22"/>
        <v>999999999999</v>
      </c>
      <c r="AQ235">
        <f t="shared" si="21"/>
        <v>999999999999</v>
      </c>
      <c r="AR235">
        <f t="shared" si="26"/>
        <v>0</v>
      </c>
    </row>
    <row r="236" spans="25:44">
      <c r="Y236" t="str">
        <f>IF('07 - EVIDENCE &amp; ASSURANCE'!A58&lt;&gt;"",IF('07 - EVIDENCE &amp; ASSURANCE'!F58="","",'07 - EVIDENCE &amp; ASSURANCE'!F58),"")</f>
        <v/>
      </c>
      <c r="Z236" t="str">
        <f>IF('07 - EVIDENCE &amp; ASSURANCE'!A58&lt;&gt;"","Assurance","")</f>
        <v/>
      </c>
      <c r="AA236" t="str">
        <f>IF('07 - EVIDENCE &amp; ASSURANCE'!A58&lt;&gt;"",IF('07 - EVIDENCE &amp; ASSURANCE'!A58="","",'07 - EVIDENCE &amp; ASSURANCE'!A58),"")</f>
        <v/>
      </c>
      <c r="AB236" t="str">
        <f>IF('07 - EVIDENCE &amp; ASSURANCE'!A58&lt;&gt;"",IF('07 - EVIDENCE &amp; ASSURANCE'!B58="","",'07 - EVIDENCE &amp; ASSURANCE'!B58),"")</f>
        <v/>
      </c>
      <c r="AC236" t="str">
        <f>IF('07 - EVIDENCE &amp; ASSURANCE'!A58&lt;&gt;"",IF('07 - EVIDENCE &amp; ASSURANCE'!G58="","",'07 - EVIDENCE &amp; ASSURANCE'!G58),"")</f>
        <v/>
      </c>
      <c r="AD236" t="str">
        <f>IF('07 - EVIDENCE &amp; ASSURANCE'!A58&lt;&gt;"",IF('07 - EVIDENCE &amp; ASSURANCE'!H58="","",'07 - EVIDENCE &amp; ASSURANCE'!H58),"")</f>
        <v/>
      </c>
      <c r="AE236" t="str">
        <f>IF('07 - EVIDENCE &amp; ASSURANCE'!A58&lt;&gt;"",IF('07 - EVIDENCE &amp; ASSURANCE'!D58="","",'07 - EVIDENCE &amp; ASSURANCE'!D58),"")</f>
        <v/>
      </c>
      <c r="AF236" s="17" t="str">
        <f>IF('07 - EVIDENCE &amp; ASSURANCE'!A58&lt;&gt;"",IF('07 - EVIDENCE &amp; ASSURANCE'!E58="","",'07 - EVIDENCE &amp; ASSURANCE'!E58),"")</f>
        <v/>
      </c>
      <c r="AG236" t="str">
        <f>IF('07 - EVIDENCE &amp; ASSURANCE'!A58&lt;&gt;"",IF('07 - EVIDENCE &amp; ASSURANCE'!I58="","",'07 - EVIDENCE &amp; ASSURANCE'!I58),"")</f>
        <v/>
      </c>
      <c r="AH236" t="str">
        <f>IF('07 - EVIDENCE &amp; ASSURANCE'!A58&lt;&gt;"",IF('07 - EVIDENCE &amp; ASSURANCE'!J58="","",'07 - EVIDENCE &amp; ASSURANCE'!J58),"")</f>
        <v/>
      </c>
      <c r="AI236" t="str">
        <f>IF('07 - EVIDENCE &amp; ASSURANCE'!A58&lt;&gt;"",IF('07 - EVIDENCE &amp; ASSURANCE'!C58="","",'07 - EVIDENCE &amp; ASSURANCE'!C58),"")</f>
        <v/>
      </c>
      <c r="AJ236" t="str">
        <f>IF('07 - EVIDENCE &amp; ASSURANCE'!A58&lt;&gt;"","07 - EVIDENCE &amp; ASSURANCE row 58","")</f>
        <v/>
      </c>
      <c r="AK236">
        <f>IF(AND('07 - EVIDENCE &amp; ASSURANCE'!A58&lt;&gt;"",OR('07 - EVIDENCE &amp; ASSURANCE'!C58&lt;&gt;"Closed",'07 - EVIDENCE &amp; ASSURANCE'!G58&lt;&gt;""),OR(AC236&lt;&gt;"",AD236&lt;&gt;"")),IF(Y236="Critical",1,IF(Y236="Review",2,3))*100000000+IF(ISNUMBER(AF236),AF236,99999)*1000+ROW(),999999999999)</f>
        <v>999999999999</v>
      </c>
      <c r="AL236">
        <f t="shared" si="23"/>
        <v>999999999999</v>
      </c>
      <c r="AM236">
        <f t="shared" si="27"/>
        <v>999999999999</v>
      </c>
      <c r="AN236">
        <f t="shared" si="24"/>
        <v>999999999999</v>
      </c>
      <c r="AO236">
        <f t="shared" si="25"/>
        <v>999999999999</v>
      </c>
      <c r="AP236">
        <f t="shared" si="22"/>
        <v>999999999999</v>
      </c>
      <c r="AQ236">
        <f t="shared" si="21"/>
        <v>999999999999</v>
      </c>
      <c r="AR236">
        <f t="shared" si="26"/>
        <v>0</v>
      </c>
    </row>
    <row r="237" spans="25:44">
      <c r="Y237" t="str">
        <f>IF('08 - READINESS'!A9&lt;&gt;"",IF('08 - READINESS'!F9="","",'08 - READINESS'!F9),"")</f>
        <v>Routine</v>
      </c>
      <c r="Z237" t="str">
        <f>IF('08 - READINESS'!A9&lt;&gt;"","Readiness","")</f>
        <v>Readiness</v>
      </c>
      <c r="AA237" t="str">
        <f>IF('08 - READINESS'!A9&lt;&gt;"",IF('08 - READINESS'!A9="","",'08 - READINESS'!A9),"")</f>
        <v>R-01</v>
      </c>
      <c r="AB237" t="str">
        <f>IF('08 - READINESS'!A9&lt;&gt;"",IF('08 - READINESS'!B9="","",'08 - READINESS'!B9),"")</f>
        <v>Service ownership</v>
      </c>
      <c r="AC237" t="str">
        <f>IF('08 - READINESS'!A9&lt;&gt;"",IF('08 - READINESS'!G9="","",'08 - READINESS'!G9),"")</f>
        <v/>
      </c>
      <c r="AD237" t="str">
        <f>IF('08 - READINESS'!A9&lt;&gt;"",IF('08 - READINESS'!H9="","",'08 - READINESS'!H9),"")</f>
        <v/>
      </c>
      <c r="AE237" t="str">
        <f>IF('08 - READINESS'!A9&lt;&gt;"",IF('08 - READINESS'!D9="","",'08 - READINESS'!D9),"")</f>
        <v>Service owner</v>
      </c>
      <c r="AF237" s="17">
        <f>IF('08 - READINESS'!A9&lt;&gt;"",IF('08 - READINESS'!E9="","",'08 - READINESS'!E9),"")</f>
        <v>46293</v>
      </c>
      <c r="AG237" t="str">
        <f>IF('08 - READINESS'!A9&lt;&gt;"",IF('08 - READINESS'!I9="","",'08 - READINESS'!I9),"")</f>
        <v>Receiving team needs operational evidence</v>
      </c>
      <c r="AH237" t="str">
        <f>IF('08 - READINESS'!A9&lt;&gt;"",IF('08 - READINESS'!J9="","",'08 - READINESS'!J9),"")</f>
        <v>Scope and boundaries accepted</v>
      </c>
      <c r="AI237" t="str">
        <f>IF('08 - READINESS'!A9&lt;&gt;"",IF('08 - READINESS'!C9="","",'08 - READINESS'!C9),"")</f>
        <v>Pass</v>
      </c>
      <c r="AJ237" t="str">
        <f>IF('08 - READINESS'!A9&lt;&gt;"","08 - READINESS row 9","")</f>
        <v>08 - READINESS row 9</v>
      </c>
      <c r="AK237">
        <f>IF(AND('08 - READINESS'!A9&lt;&gt;"",OR('08 - READINESS'!C9&lt;&gt;"Pass",'08 - READINESS'!G9&lt;&gt;""),OR(AC237&lt;&gt;"",AD237&lt;&gt;"")),IF(Y237="Critical",1,IF(Y237="Review",2,3))*100000000+IF(ISNUMBER(AF237),AF237,99999)*1000+ROW(),999999999999)</f>
        <v>999999999999</v>
      </c>
      <c r="AL237">
        <f t="shared" si="23"/>
        <v>999999999999</v>
      </c>
      <c r="AM237">
        <f t="shared" si="27"/>
        <v>999999999999</v>
      </c>
      <c r="AN237">
        <f>IF(AND(ISNUMBER(AK237),'08 - READINESS'!V9="Yes"),AK237,999999999999)</f>
        <v>999999999999</v>
      </c>
      <c r="AO237">
        <f t="shared" si="25"/>
        <v>46293237</v>
      </c>
      <c r="AP237">
        <f t="shared" si="22"/>
        <v>999999999999</v>
      </c>
      <c r="AQ237">
        <f t="shared" si="21"/>
        <v>999999999999</v>
      </c>
      <c r="AR237">
        <f t="shared" si="26"/>
        <v>0</v>
      </c>
    </row>
    <row r="238" spans="25:44">
      <c r="Y238" t="str">
        <f>IF('08 - READINESS'!A10&lt;&gt;"",IF('08 - READINESS'!F10="","",'08 - READINESS'!F10),"")</f>
        <v>Review</v>
      </c>
      <c r="Z238" t="str">
        <f>IF('08 - READINESS'!A10&lt;&gt;"","Readiness","")</f>
        <v>Readiness</v>
      </c>
      <c r="AA238" t="str">
        <f>IF('08 - READINESS'!A10&lt;&gt;"",IF('08 - READINESS'!A10="","",'08 - READINESS'!A10),"")</f>
        <v>R-02</v>
      </c>
      <c r="AB238" t="str">
        <f>IF('08 - READINESS'!A10&lt;&gt;"",IF('08 - READINESS'!B10="","",'08 - READINESS'!B10),"")</f>
        <v>Observability</v>
      </c>
      <c r="AC238" t="str">
        <f>IF('08 - READINESS'!A10&lt;&gt;"",IF('08 - READINESS'!G10="","",'08 - READINESS'!G10),"")</f>
        <v xml:space="preserve">READINESS UNKNOWN </v>
      </c>
      <c r="AD238" t="str">
        <f>IF('08 - READINESS'!A10&lt;&gt;"",IF('08 - READINESS'!H10="","",'08 - READINESS'!H10),"")</f>
        <v>Demonstrate the operator task and record current evidence.</v>
      </c>
      <c r="AE238" t="str">
        <f>IF('08 - READINESS'!A10&lt;&gt;"",IF('08 - READINESS'!D10="","",'08 - READINESS'!D10),"")</f>
        <v>Service owner</v>
      </c>
      <c r="AF238" s="17">
        <f>IF('08 - READINESS'!A10&lt;&gt;"",IF('08 - READINESS'!E10="","",'08 - READINESS'!E10),"")</f>
        <v>46293</v>
      </c>
      <c r="AG238" t="str">
        <f>IF('08 - READINESS'!A10&lt;&gt;"",IF('08 - READINESS'!I10="","",'08 - READINESS'!I10),"")</f>
        <v>Receiving team needs operational evidence</v>
      </c>
      <c r="AH238" t="str">
        <f>IF('08 - READINESS'!A10&lt;&gt;"",IF('08 - READINESS'!J10="","",'08 - READINESS'!J10),"")</f>
        <v/>
      </c>
      <c r="AI238" t="str">
        <f>IF('08 - READINESS'!A10&lt;&gt;"",IF('08 - READINESS'!C10="","",'08 - READINESS'!C10),"")</f>
        <v>Unknown</v>
      </c>
      <c r="AJ238" t="str">
        <f>IF('08 - READINESS'!A10&lt;&gt;"","08 - READINESS row 10","")</f>
        <v>08 - READINESS row 10</v>
      </c>
      <c r="AK238">
        <f>IF(AND('08 - READINESS'!A10&lt;&gt;"",OR('08 - READINESS'!C10&lt;&gt;"Pass",'08 - READINESS'!G10&lt;&gt;""),OR(AC238&lt;&gt;"",AD238&lt;&gt;"")),IF(Y238="Critical",1,IF(Y238="Review",2,3))*100000000+IF(ISNUMBER(AF238),AF238,99999)*1000+ROW(),999999999999)</f>
        <v>246293238</v>
      </c>
      <c r="AL238">
        <f t="shared" si="23"/>
        <v>999999999999</v>
      </c>
      <c r="AM238">
        <f t="shared" si="27"/>
        <v>999999999999</v>
      </c>
      <c r="AN238">
        <f>IF(AND(ISNUMBER(AK238),'08 - READINESS'!V10="Yes"),AK238,999999999999)</f>
        <v>999999999999</v>
      </c>
      <c r="AO238">
        <f t="shared" si="25"/>
        <v>46293238</v>
      </c>
      <c r="AP238">
        <f t="shared" si="22"/>
        <v>999999999999</v>
      </c>
      <c r="AQ238">
        <f t="shared" si="21"/>
        <v>999999999999</v>
      </c>
      <c r="AR238">
        <f t="shared" si="26"/>
        <v>1</v>
      </c>
    </row>
    <row r="239" spans="25:44">
      <c r="Y239" t="str">
        <f>IF('08 - READINESS'!A11&lt;&gt;"",IF('08 - READINESS'!F11="","",'08 - READINESS'!F11),"")</f>
        <v>Routine</v>
      </c>
      <c r="Z239" t="str">
        <f>IF('08 - READINESS'!A11&lt;&gt;"","Readiness","")</f>
        <v>Readiness</v>
      </c>
      <c r="AA239" t="str">
        <f>IF('08 - READINESS'!A11&lt;&gt;"",IF('08 - READINESS'!A11="","",'08 - READINESS'!A11),"")</f>
        <v>R-03</v>
      </c>
      <c r="AB239" t="str">
        <f>IF('08 - READINESS'!A11&lt;&gt;"",IF('08 - READINESS'!B11="","",'08 - READINESS'!B11),"")</f>
        <v>Support and service desk</v>
      </c>
      <c r="AC239" t="str">
        <f>IF('08 - READINESS'!A11&lt;&gt;"",IF('08 - READINESS'!G11="","",'08 - READINESS'!G11),"")</f>
        <v/>
      </c>
      <c r="AD239" t="str">
        <f>IF('08 - READINESS'!A11&lt;&gt;"",IF('08 - READINESS'!H11="","",'08 - READINESS'!H11),"")</f>
        <v/>
      </c>
      <c r="AE239" t="str">
        <f>IF('08 - READINESS'!A11&lt;&gt;"",IF('08 - READINESS'!D11="","",'08 - READINESS'!D11),"")</f>
        <v>Service owner</v>
      </c>
      <c r="AF239" s="17">
        <f>IF('08 - READINESS'!A11&lt;&gt;"",IF('08 - READINESS'!E11="","",'08 - READINESS'!E11),"")</f>
        <v>46293</v>
      </c>
      <c r="AG239" t="str">
        <f>IF('08 - READINESS'!A11&lt;&gt;"",IF('08 - READINESS'!I11="","",'08 - READINESS'!I11),"")</f>
        <v>Receiving team needs operational evidence</v>
      </c>
      <c r="AH239" t="str">
        <f>IF('08 - READINESS'!A11&lt;&gt;"",IF('08 - READINESS'!J11="","",'08 - READINESS'!J11),"")</f>
        <v>Representative ticket routing tested</v>
      </c>
      <c r="AI239" t="str">
        <f>IF('08 - READINESS'!A11&lt;&gt;"",IF('08 - READINESS'!C11="","",'08 - READINESS'!C11),"")</f>
        <v>Pass</v>
      </c>
      <c r="AJ239" t="str">
        <f>IF('08 - READINESS'!A11&lt;&gt;"","08 - READINESS row 11","")</f>
        <v>08 - READINESS row 11</v>
      </c>
      <c r="AK239">
        <f>IF(AND('08 - READINESS'!A11&lt;&gt;"",OR('08 - READINESS'!C11&lt;&gt;"Pass",'08 - READINESS'!G11&lt;&gt;""),OR(AC239&lt;&gt;"",AD239&lt;&gt;"")),IF(Y239="Critical",1,IF(Y239="Review",2,3))*100000000+IF(ISNUMBER(AF239),AF239,99999)*1000+ROW(),999999999999)</f>
        <v>999999999999</v>
      </c>
      <c r="AL239">
        <f t="shared" si="23"/>
        <v>999999999999</v>
      </c>
      <c r="AM239">
        <f t="shared" si="27"/>
        <v>999999999999</v>
      </c>
      <c r="AN239">
        <f>IF(AND(ISNUMBER(AK239),'08 - READINESS'!V11="Yes"),AK239,999999999999)</f>
        <v>999999999999</v>
      </c>
      <c r="AO239">
        <f t="shared" si="25"/>
        <v>46293239</v>
      </c>
      <c r="AP239">
        <f t="shared" si="22"/>
        <v>999999999999</v>
      </c>
      <c r="AQ239">
        <f t="shared" si="21"/>
        <v>999999999999</v>
      </c>
      <c r="AR239">
        <f t="shared" si="26"/>
        <v>0</v>
      </c>
    </row>
    <row r="240" spans="25:44">
      <c r="Y240" t="str">
        <f>IF('08 - READINESS'!A12&lt;&gt;"",IF('08 - READINESS'!F12="","",'08 - READINESS'!F12),"")</f>
        <v>Critical</v>
      </c>
      <c r="Z240" t="str">
        <f>IF('08 - READINESS'!A12&lt;&gt;"","Readiness","")</f>
        <v>Readiness</v>
      </c>
      <c r="AA240" t="str">
        <f>IF('08 - READINESS'!A12&lt;&gt;"",IF('08 - READINESS'!A12="","",'08 - READINESS'!A12),"")</f>
        <v>R-04</v>
      </c>
      <c r="AB240" t="str">
        <f>IF('08 - READINESS'!A12&lt;&gt;"",IF('08 - READINESS'!B12="","",'08 - READINESS'!B12),"")</f>
        <v>Access and on-call readiness</v>
      </c>
      <c r="AC240" t="str">
        <f>IF('08 - READINESS'!A12&lt;&gt;"",IF('08 - READINESS'!G12="","",'08 - READINESS'!G12),"")</f>
        <v xml:space="preserve">RELEASE BLOCKER LINKED DEPENDENCY UNRESOLVED </v>
      </c>
      <c r="AD240" t="str">
        <f>IF('08 - READINESS'!A12&lt;&gt;"",IF('08 - READINESS'!H12="","",'08 - READINESS'!H12),"")</f>
        <v>Hold release or obtain explicit authorised risk acceptance.</v>
      </c>
      <c r="AE240" t="str">
        <f>IF('08 - READINESS'!A12&lt;&gt;"",IF('08 - READINESS'!D12="","",'08 - READINESS'!D12),"")</f>
        <v>Access owner</v>
      </c>
      <c r="AF240" s="17">
        <f>IF('08 - READINESS'!A12&lt;&gt;"",IF('08 - READINESS'!E12="","",'08 - READINESS'!E12),"")</f>
        <v>46293</v>
      </c>
      <c r="AG240" t="str">
        <f>IF('08 - READINESS'!A12&lt;&gt;"",IF('08 - READINESS'!I12="","",'08 - READINESS'!I12),"")</f>
        <v>Operators cannot demonstrate privileged access</v>
      </c>
      <c r="AH240" t="str">
        <f>IF('08 - READINESS'!A12&lt;&gt;"",IF('08 - READINESS'!J12="","",'08 - READINESS'!J12),"")</f>
        <v/>
      </c>
      <c r="AI240" t="str">
        <f>IF('08 - READINESS'!A12&lt;&gt;"",IF('08 - READINESS'!C12="","",'08 - READINESS'!C12),"")</f>
        <v>Gap</v>
      </c>
      <c r="AJ240" t="str">
        <f>IF('08 - READINESS'!A12&lt;&gt;"","08 - READINESS row 12","")</f>
        <v>08 - READINESS row 12</v>
      </c>
      <c r="AK240">
        <f>IF(AND('08 - READINESS'!A12&lt;&gt;"",OR('08 - READINESS'!C12&lt;&gt;"Pass",'08 - READINESS'!G12&lt;&gt;""),OR(AC240&lt;&gt;"",AD240&lt;&gt;"")),IF(Y240="Critical",1,IF(Y240="Review",2,3))*100000000+IF(ISNUMBER(AF240),AF240,99999)*1000+ROW(),999999999999)</f>
        <v>146293240</v>
      </c>
      <c r="AL240">
        <f t="shared" si="23"/>
        <v>146293240</v>
      </c>
      <c r="AM240">
        <f t="shared" si="27"/>
        <v>999999999999</v>
      </c>
      <c r="AN240">
        <f>IF(AND(ISNUMBER(AK240),'08 - READINESS'!V12="Yes"),AK240,999999999999)</f>
        <v>146293240</v>
      </c>
      <c r="AO240">
        <f t="shared" si="25"/>
        <v>46293240</v>
      </c>
      <c r="AP240">
        <f t="shared" si="22"/>
        <v>999999999999</v>
      </c>
      <c r="AQ240">
        <f t="shared" si="21"/>
        <v>999999999999</v>
      </c>
      <c r="AR240">
        <f t="shared" si="26"/>
        <v>1</v>
      </c>
    </row>
    <row r="241" spans="25:44">
      <c r="Y241" t="str">
        <f>IF('08 - READINESS'!A13&lt;&gt;"",IF('08 - READINESS'!F13="","",'08 - READINESS'!F13),"")</f>
        <v>Critical</v>
      </c>
      <c r="Z241" t="str">
        <f>IF('08 - READINESS'!A13&lt;&gt;"","Readiness","")</f>
        <v>Readiness</v>
      </c>
      <c r="AA241" t="str">
        <f>IF('08 - READINESS'!A13&lt;&gt;"",IF('08 - READINESS'!A13="","",'08 - READINESS'!A13),"")</f>
        <v>R-05</v>
      </c>
      <c r="AB241" t="str">
        <f>IF('08 - READINESS'!A13&lt;&gt;"",IF('08 - READINESS'!B13="","",'08 - READINESS'!B13),"")</f>
        <v>Recovery and data integrity</v>
      </c>
      <c r="AC241" t="str">
        <f>IF('08 - READINESS'!A13&lt;&gt;"",IF('08 - READINESS'!G13="","",'08 - READINESS'!G13),"")</f>
        <v xml:space="preserve">RELEASE BLOCKER READINESS UNKNOWN LINKED DEPENDENCY UNRESOLVED </v>
      </c>
      <c r="AD241" t="str">
        <f>IF('08 - READINESS'!A13&lt;&gt;"",IF('08 - READINESS'!H13="","",'08 - READINESS'!H13),"")</f>
        <v>Hold release or obtain explicit authorised risk acceptance.</v>
      </c>
      <c r="AE241" t="str">
        <f>IF('08 - READINESS'!A13&lt;&gt;"",IF('08 - READINESS'!D13="","",'08 - READINESS'!D13),"")</f>
        <v>Assurance lead</v>
      </c>
      <c r="AF241" s="17">
        <f>IF('08 - READINESS'!A13&lt;&gt;"",IF('08 - READINESS'!E13="","",'08 - READINESS'!E13),"")</f>
        <v>46294</v>
      </c>
      <c r="AG241" t="str">
        <f>IF('08 - READINESS'!A13&lt;&gt;"",IF('08 - READINESS'!I13="","",'08 - READINESS'!I13),"")</f>
        <v>Recovery at production scale not demonstrated</v>
      </c>
      <c r="AH241" t="str">
        <f>IF('08 - READINESS'!A13&lt;&gt;"",IF('08 - READINESS'!J13="","",'08 - READINESS'!J13),"")</f>
        <v/>
      </c>
      <c r="AI241" t="str">
        <f>IF('08 - READINESS'!A13&lt;&gt;"",IF('08 - READINESS'!C13="","",'08 - READINESS'!C13),"")</f>
        <v>Unknown</v>
      </c>
      <c r="AJ241" t="str">
        <f>IF('08 - READINESS'!A13&lt;&gt;"","08 - READINESS row 13","")</f>
        <v>08 - READINESS row 13</v>
      </c>
      <c r="AK241">
        <f>IF(AND('08 - READINESS'!A13&lt;&gt;"",OR('08 - READINESS'!C13&lt;&gt;"Pass",'08 - READINESS'!G13&lt;&gt;""),OR(AC241&lt;&gt;"",AD241&lt;&gt;"")),IF(Y241="Critical",1,IF(Y241="Review",2,3))*100000000+IF(ISNUMBER(AF241),AF241,99999)*1000+ROW(),999999999999)</f>
        <v>146294241</v>
      </c>
      <c r="AL241">
        <f t="shared" si="23"/>
        <v>146294241</v>
      </c>
      <c r="AM241">
        <f t="shared" si="27"/>
        <v>999999999999</v>
      </c>
      <c r="AN241">
        <f>IF(AND(ISNUMBER(AK241),'08 - READINESS'!V13="Yes"),AK241,999999999999)</f>
        <v>146294241</v>
      </c>
      <c r="AO241">
        <f t="shared" si="25"/>
        <v>46294241</v>
      </c>
      <c r="AP241">
        <f t="shared" si="22"/>
        <v>999999999999</v>
      </c>
      <c r="AQ241">
        <f t="shared" si="21"/>
        <v>999999999999</v>
      </c>
      <c r="AR241">
        <f t="shared" si="26"/>
        <v>1</v>
      </c>
    </row>
    <row r="242" spans="25:44">
      <c r="Y242" t="str">
        <f>IF('08 - READINESS'!A14&lt;&gt;"",IF('08 - READINESS'!F14="","",'08 - READINESS'!F14),"")</f>
        <v>Review</v>
      </c>
      <c r="Z242" t="str">
        <f>IF('08 - READINESS'!A14&lt;&gt;"","Readiness","")</f>
        <v>Readiness</v>
      </c>
      <c r="AA242" t="str">
        <f>IF('08 - READINESS'!A14&lt;&gt;"",IF('08 - READINESS'!A14="","",'08 - READINESS'!A14),"")</f>
        <v>R-06</v>
      </c>
      <c r="AB242" t="str">
        <f>IF('08 - READINESS'!A14&lt;&gt;"",IF('08 - READINESS'!B14="","",'08 - READINESS'!B14),"")</f>
        <v>Security</v>
      </c>
      <c r="AC242" t="str">
        <f>IF('08 - READINESS'!A14&lt;&gt;"",IF('08 - READINESS'!G14="","",'08 - READINESS'!G14),"")</f>
        <v xml:space="preserve">READINESS UNKNOWN </v>
      </c>
      <c r="AD242" t="str">
        <f>IF('08 - READINESS'!A14&lt;&gt;"",IF('08 - READINESS'!H14="","",'08 - READINESS'!H14),"")</f>
        <v>Demonstrate the operator task and record current evidence.</v>
      </c>
      <c r="AE242" t="str">
        <f>IF('08 - READINESS'!A14&lt;&gt;"",IF('08 - READINESS'!D14="","",'08 - READINESS'!D14),"")</f>
        <v>Service owner</v>
      </c>
      <c r="AF242" s="17">
        <f>IF('08 - READINESS'!A14&lt;&gt;"",IF('08 - READINESS'!E14="","",'08 - READINESS'!E14),"")</f>
        <v>46293</v>
      </c>
      <c r="AG242" t="str">
        <f>IF('08 - READINESS'!A14&lt;&gt;"",IF('08 - READINESS'!I14="","",'08 - READINESS'!I14),"")</f>
        <v>Receiving team needs operational evidence</v>
      </c>
      <c r="AH242" t="str">
        <f>IF('08 - READINESS'!A14&lt;&gt;"",IF('08 - READINESS'!J14="","",'08 - READINESS'!J14),"")</f>
        <v/>
      </c>
      <c r="AI242" t="str">
        <f>IF('08 - READINESS'!A14&lt;&gt;"",IF('08 - READINESS'!C14="","",'08 - READINESS'!C14),"")</f>
        <v>Unknown</v>
      </c>
      <c r="AJ242" t="str">
        <f>IF('08 - READINESS'!A14&lt;&gt;"","08 - READINESS row 14","")</f>
        <v>08 - READINESS row 14</v>
      </c>
      <c r="AK242">
        <f>IF(AND('08 - READINESS'!A14&lt;&gt;"",OR('08 - READINESS'!C14&lt;&gt;"Pass",'08 - READINESS'!G14&lt;&gt;""),OR(AC242&lt;&gt;"",AD242&lt;&gt;"")),IF(Y242="Critical",1,IF(Y242="Review",2,3))*100000000+IF(ISNUMBER(AF242),AF242,99999)*1000+ROW(),999999999999)</f>
        <v>246293242</v>
      </c>
      <c r="AL242">
        <f t="shared" si="23"/>
        <v>999999999999</v>
      </c>
      <c r="AM242">
        <f t="shared" si="27"/>
        <v>999999999999</v>
      </c>
      <c r="AN242">
        <f>IF(AND(ISNUMBER(AK242),'08 - READINESS'!V14="Yes"),AK242,999999999999)</f>
        <v>999999999999</v>
      </c>
      <c r="AO242">
        <f t="shared" si="25"/>
        <v>46293242</v>
      </c>
      <c r="AP242">
        <f t="shared" si="22"/>
        <v>999999999999</v>
      </c>
      <c r="AQ242">
        <f t="shared" si="21"/>
        <v>999999999999</v>
      </c>
      <c r="AR242">
        <f t="shared" si="26"/>
        <v>1</v>
      </c>
    </row>
    <row r="243" spans="25:44">
      <c r="Y243" t="str">
        <f>IF('08 - READINESS'!A15&lt;&gt;"",IF('08 - READINESS'!F15="","",'08 - READINESS'!F15),"")</f>
        <v>Review</v>
      </c>
      <c r="Z243" t="str">
        <f>IF('08 - READINESS'!A15&lt;&gt;"","Readiness","")</f>
        <v>Readiness</v>
      </c>
      <c r="AA243" t="str">
        <f>IF('08 - READINESS'!A15&lt;&gt;"",IF('08 - READINESS'!A15="","",'08 - READINESS'!A15),"")</f>
        <v>R-07</v>
      </c>
      <c r="AB243" t="str">
        <f>IF('08 - READINESS'!A15&lt;&gt;"",IF('08 - READINESS'!B15="","",'08 - READINESS'!B15),"")</f>
        <v>Documentation</v>
      </c>
      <c r="AC243" t="str">
        <f>IF('08 - READINESS'!A15&lt;&gt;"",IF('08 - READINESS'!G15="","",'08 - READINESS'!G15),"")</f>
        <v xml:space="preserve">READINESS UNKNOWN </v>
      </c>
      <c r="AD243" t="str">
        <f>IF('08 - READINESS'!A15&lt;&gt;"",IF('08 - READINESS'!H15="","",'08 - READINESS'!H15),"")</f>
        <v>Demonstrate the operator task and record current evidence.</v>
      </c>
      <c r="AE243" t="str">
        <f>IF('08 - READINESS'!A15&lt;&gt;"",IF('08 - READINESS'!D15="","",'08 - READINESS'!D15),"")</f>
        <v>Service owner</v>
      </c>
      <c r="AF243" s="17">
        <f>IF('08 - READINESS'!A15&lt;&gt;"",IF('08 - READINESS'!E15="","",'08 - READINESS'!E15),"")</f>
        <v>46293</v>
      </c>
      <c r="AG243" t="str">
        <f>IF('08 - READINESS'!A15&lt;&gt;"",IF('08 - READINESS'!I15="","",'08 - READINESS'!I15),"")</f>
        <v>Receiving team needs operational evidence</v>
      </c>
      <c r="AH243" t="str">
        <f>IF('08 - READINESS'!A15&lt;&gt;"",IF('08 - READINESS'!J15="","",'08 - READINESS'!J15),"")</f>
        <v/>
      </c>
      <c r="AI243" t="str">
        <f>IF('08 - READINESS'!A15&lt;&gt;"",IF('08 - READINESS'!C15="","",'08 - READINESS'!C15),"")</f>
        <v>Unknown</v>
      </c>
      <c r="AJ243" t="str">
        <f>IF('08 - READINESS'!A15&lt;&gt;"","08 - READINESS row 15","")</f>
        <v>08 - READINESS row 15</v>
      </c>
      <c r="AK243">
        <f>IF(AND('08 - READINESS'!A15&lt;&gt;"",OR('08 - READINESS'!C15&lt;&gt;"Pass",'08 - READINESS'!G15&lt;&gt;""),OR(AC243&lt;&gt;"",AD243&lt;&gt;"")),IF(Y243="Critical",1,IF(Y243="Review",2,3))*100000000+IF(ISNUMBER(AF243),AF243,99999)*1000+ROW(),999999999999)</f>
        <v>246293243</v>
      </c>
      <c r="AL243">
        <f t="shared" si="23"/>
        <v>999999999999</v>
      </c>
      <c r="AM243">
        <f t="shared" si="27"/>
        <v>999999999999</v>
      </c>
      <c r="AN243">
        <f>IF(AND(ISNUMBER(AK243),'08 - READINESS'!V15="Yes"),AK243,999999999999)</f>
        <v>999999999999</v>
      </c>
      <c r="AO243">
        <f t="shared" si="25"/>
        <v>46293243</v>
      </c>
      <c r="AP243">
        <f t="shared" si="22"/>
        <v>999999999999</v>
      </c>
      <c r="AQ243">
        <f t="shared" si="21"/>
        <v>999999999999</v>
      </c>
      <c r="AR243">
        <f t="shared" si="26"/>
        <v>1</v>
      </c>
    </row>
    <row r="244" spans="25:44">
      <c r="Y244" t="str">
        <f>IF('08 - READINESS'!A16&lt;&gt;"",IF('08 - READINESS'!F16="","",'08 - READINESS'!F16),"")</f>
        <v>Routine</v>
      </c>
      <c r="Z244" t="str">
        <f>IF('08 - READINESS'!A16&lt;&gt;"","Readiness","")</f>
        <v>Readiness</v>
      </c>
      <c r="AA244" t="str">
        <f>IF('08 - READINESS'!A16&lt;&gt;"",IF('08 - READINESS'!A16="","",'08 - READINESS'!A16),"")</f>
        <v>R-08</v>
      </c>
      <c r="AB244" t="str">
        <f>IF('08 - READINESS'!A16&lt;&gt;"",IF('08 - READINESS'!B16="","",'08 - READINESS'!B16),"")</f>
        <v>Supplier support</v>
      </c>
      <c r="AC244" t="str">
        <f>IF('08 - READINESS'!A16&lt;&gt;"",IF('08 - READINESS'!G16="","",'08 - READINESS'!G16),"")</f>
        <v/>
      </c>
      <c r="AD244" t="str">
        <f>IF('08 - READINESS'!A16&lt;&gt;"",IF('08 - READINESS'!H16="","",'08 - READINESS'!H16),"")</f>
        <v/>
      </c>
      <c r="AE244" t="str">
        <f>IF('08 - READINESS'!A16&lt;&gt;"",IF('08 - READINESS'!D16="","",'08 - READINESS'!D16),"")</f>
        <v>Service owner</v>
      </c>
      <c r="AF244" s="17">
        <f>IF('08 - READINESS'!A16&lt;&gt;"",IF('08 - READINESS'!E16="","",'08 - READINESS'!E16),"")</f>
        <v>46293</v>
      </c>
      <c r="AG244" t="str">
        <f>IF('08 - READINESS'!A16&lt;&gt;"",IF('08 - READINESS'!I16="","",'08 - READINESS'!I16),"")</f>
        <v>Receiving team needs operational evidence</v>
      </c>
      <c r="AH244" t="str">
        <f>IF('08 - READINESS'!A16&lt;&gt;"",IF('08 - READINESS'!J16="","",'08 - READINESS'!J16),"")</f>
        <v>Support hours and escalation confirmed</v>
      </c>
      <c r="AI244" t="str">
        <f>IF('08 - READINESS'!A16&lt;&gt;"",IF('08 - READINESS'!C16="","",'08 - READINESS'!C16),"")</f>
        <v>Pass</v>
      </c>
      <c r="AJ244" t="str">
        <f>IF('08 - READINESS'!A16&lt;&gt;"","08 - READINESS row 16","")</f>
        <v>08 - READINESS row 16</v>
      </c>
      <c r="AK244">
        <f>IF(AND('08 - READINESS'!A16&lt;&gt;"",OR('08 - READINESS'!C16&lt;&gt;"Pass",'08 - READINESS'!G16&lt;&gt;""),OR(AC244&lt;&gt;"",AD244&lt;&gt;"")),IF(Y244="Critical",1,IF(Y244="Review",2,3))*100000000+IF(ISNUMBER(AF244),AF244,99999)*1000+ROW(),999999999999)</f>
        <v>999999999999</v>
      </c>
      <c r="AL244">
        <f t="shared" si="23"/>
        <v>999999999999</v>
      </c>
      <c r="AM244">
        <f t="shared" si="27"/>
        <v>999999999999</v>
      </c>
      <c r="AN244">
        <f>IF(AND(ISNUMBER(AK244),'08 - READINESS'!V16="Yes"),AK244,999999999999)</f>
        <v>999999999999</v>
      </c>
      <c r="AO244">
        <f t="shared" si="25"/>
        <v>46293244</v>
      </c>
      <c r="AP244">
        <f t="shared" si="22"/>
        <v>999999999999</v>
      </c>
      <c r="AQ244">
        <f t="shared" si="21"/>
        <v>999999999999</v>
      </c>
      <c r="AR244">
        <f t="shared" si="26"/>
        <v>0</v>
      </c>
    </row>
    <row r="245" spans="25:44">
      <c r="Y245" t="str">
        <f>IF('08 - READINESS'!A17&lt;&gt;"",IF('08 - READINESS'!F17="","",'08 - READINESS'!F17),"")</f>
        <v>Review</v>
      </c>
      <c r="Z245" t="str">
        <f>IF('08 - READINESS'!A17&lt;&gt;"","Readiness","")</f>
        <v>Readiness</v>
      </c>
      <c r="AA245" t="str">
        <f>IF('08 - READINESS'!A17&lt;&gt;"",IF('08 - READINESS'!A17="","",'08 - READINESS'!A17),"")</f>
        <v>R-09</v>
      </c>
      <c r="AB245" t="str">
        <f>IF('08 - READINESS'!A17&lt;&gt;"",IF('08 - READINESS'!B17="","",'08 - READINESS'!B17),"")</f>
        <v>Training</v>
      </c>
      <c r="AC245" t="str">
        <f>IF('08 - READINESS'!A17&lt;&gt;"",IF('08 - READINESS'!G17="","",'08 - READINESS'!G17),"")</f>
        <v xml:space="preserve">READINESS UNKNOWN </v>
      </c>
      <c r="AD245" t="str">
        <f>IF('08 - READINESS'!A17&lt;&gt;"",IF('08 - READINESS'!H17="","",'08 - READINESS'!H17),"")</f>
        <v>Demonstrate the operator task and record current evidence.</v>
      </c>
      <c r="AE245" t="str">
        <f>IF('08 - READINESS'!A17&lt;&gt;"",IF('08 - READINESS'!D17="","",'08 - READINESS'!D17),"")</f>
        <v>Service owner</v>
      </c>
      <c r="AF245" s="17">
        <f>IF('08 - READINESS'!A17&lt;&gt;"",IF('08 - READINESS'!E17="","",'08 - READINESS'!E17),"")</f>
        <v>46293</v>
      </c>
      <c r="AG245" t="str">
        <f>IF('08 - READINESS'!A17&lt;&gt;"",IF('08 - READINESS'!I17="","",'08 - READINESS'!I17),"")</f>
        <v>Receiving team needs operational evidence</v>
      </c>
      <c r="AH245" t="str">
        <f>IF('08 - READINESS'!A17&lt;&gt;"",IF('08 - READINESS'!J17="","",'08 - READINESS'!J17),"")</f>
        <v/>
      </c>
      <c r="AI245" t="str">
        <f>IF('08 - READINESS'!A17&lt;&gt;"",IF('08 - READINESS'!C17="","",'08 - READINESS'!C17),"")</f>
        <v>Unknown</v>
      </c>
      <c r="AJ245" t="str">
        <f>IF('08 - READINESS'!A17&lt;&gt;"","08 - READINESS row 17","")</f>
        <v>08 - READINESS row 17</v>
      </c>
      <c r="AK245">
        <f>IF(AND('08 - READINESS'!A17&lt;&gt;"",OR('08 - READINESS'!C17&lt;&gt;"Pass",'08 - READINESS'!G17&lt;&gt;""),OR(AC245&lt;&gt;"",AD245&lt;&gt;"")),IF(Y245="Critical",1,IF(Y245="Review",2,3))*100000000+IF(ISNUMBER(AF245),AF245,99999)*1000+ROW(),999999999999)</f>
        <v>246293245</v>
      </c>
      <c r="AL245">
        <f t="shared" si="23"/>
        <v>999999999999</v>
      </c>
      <c r="AM245">
        <f t="shared" si="27"/>
        <v>999999999999</v>
      </c>
      <c r="AN245">
        <f>IF(AND(ISNUMBER(AK245),'08 - READINESS'!V17="Yes"),AK245,999999999999)</f>
        <v>999999999999</v>
      </c>
      <c r="AO245">
        <f t="shared" si="25"/>
        <v>46293245</v>
      </c>
      <c r="AP245">
        <f t="shared" si="22"/>
        <v>999999999999</v>
      </c>
      <c r="AQ245">
        <f t="shared" si="21"/>
        <v>999999999999</v>
      </c>
      <c r="AR245">
        <f t="shared" si="26"/>
        <v>1</v>
      </c>
    </row>
    <row r="246" spans="25:44">
      <c r="Y246" t="str">
        <f>IF('08 - READINESS'!A18&lt;&gt;"",IF('08 - READINESS'!F18="","",'08 - READINESS'!F18),"")</f>
        <v>Review</v>
      </c>
      <c r="Z246" t="str">
        <f>IF('08 - READINESS'!A18&lt;&gt;"","Readiness","")</f>
        <v>Readiness</v>
      </c>
      <c r="AA246" t="str">
        <f>IF('08 - READINESS'!A18&lt;&gt;"",IF('08 - READINESS'!A18="","",'08 - READINESS'!A18),"")</f>
        <v>R-10</v>
      </c>
      <c r="AB246" t="str">
        <f>IF('08 - READINESS'!A18&lt;&gt;"",IF('08 - READINESS'!B18="","",'08 - READINESS'!B18),"")</f>
        <v>Incident response</v>
      </c>
      <c r="AC246" t="str">
        <f>IF('08 - READINESS'!A18&lt;&gt;"",IF('08 - READINESS'!G18="","",'08 - READINESS'!G18),"")</f>
        <v xml:space="preserve">READINESS UNKNOWN </v>
      </c>
      <c r="AD246" t="str">
        <f>IF('08 - READINESS'!A18&lt;&gt;"",IF('08 - READINESS'!H18="","",'08 - READINESS'!H18),"")</f>
        <v>Demonstrate the operator task and record current evidence.</v>
      </c>
      <c r="AE246" t="str">
        <f>IF('08 - READINESS'!A18&lt;&gt;"",IF('08 - READINESS'!D18="","",'08 - READINESS'!D18),"")</f>
        <v>Service owner</v>
      </c>
      <c r="AF246" s="17">
        <f>IF('08 - READINESS'!A18&lt;&gt;"",IF('08 - READINESS'!E18="","",'08 - READINESS'!E18),"")</f>
        <v>46294</v>
      </c>
      <c r="AG246" t="str">
        <f>IF('08 - READINESS'!A18&lt;&gt;"",IF('08 - READINESS'!I18="","",'08 - READINESS'!I18),"")</f>
        <v>Receiving team needs operational evidence</v>
      </c>
      <c r="AH246" t="str">
        <f>IF('08 - READINESS'!A18&lt;&gt;"",IF('08 - READINESS'!J18="","",'08 - READINESS'!J18),"")</f>
        <v/>
      </c>
      <c r="AI246" t="str">
        <f>IF('08 - READINESS'!A18&lt;&gt;"",IF('08 - READINESS'!C18="","",'08 - READINESS'!C18),"")</f>
        <v>Unknown</v>
      </c>
      <c r="AJ246" t="str">
        <f>IF('08 - READINESS'!A18&lt;&gt;"","08 - READINESS row 18","")</f>
        <v>08 - READINESS row 18</v>
      </c>
      <c r="AK246">
        <f>IF(AND('08 - READINESS'!A18&lt;&gt;"",OR('08 - READINESS'!C18&lt;&gt;"Pass",'08 - READINESS'!G18&lt;&gt;""),OR(AC246&lt;&gt;"",AD246&lt;&gt;"")),IF(Y246="Critical",1,IF(Y246="Review",2,3))*100000000+IF(ISNUMBER(AF246),AF246,99999)*1000+ROW(),999999999999)</f>
        <v>246294246</v>
      </c>
      <c r="AL246">
        <f t="shared" si="23"/>
        <v>999999999999</v>
      </c>
      <c r="AM246">
        <f t="shared" si="27"/>
        <v>999999999999</v>
      </c>
      <c r="AN246">
        <f>IF(AND(ISNUMBER(AK246),'08 - READINESS'!V18="Yes"),AK246,999999999999)</f>
        <v>999999999999</v>
      </c>
      <c r="AO246">
        <f t="shared" si="25"/>
        <v>46294246</v>
      </c>
      <c r="AP246">
        <f t="shared" si="22"/>
        <v>999999999999</v>
      </c>
      <c r="AQ246">
        <f t="shared" si="21"/>
        <v>999999999999</v>
      </c>
      <c r="AR246">
        <f t="shared" si="26"/>
        <v>1</v>
      </c>
    </row>
    <row r="247" spans="25:44">
      <c r="Y247" t="str">
        <f>IF('08 - READINESS'!A19&lt;&gt;"",IF('08 - READINESS'!F19="","",'08 - READINESS'!F19),"")</f>
        <v>Critical</v>
      </c>
      <c r="Z247" t="str">
        <f>IF('08 - READINESS'!A19&lt;&gt;"","Readiness","")</f>
        <v>Readiness</v>
      </c>
      <c r="AA247" t="str">
        <f>IF('08 - READINESS'!A19&lt;&gt;"",IF('08 - READINESS'!A19="","",'08 - READINESS'!A19),"")</f>
        <v>R-11</v>
      </c>
      <c r="AB247" t="str">
        <f>IF('08 - READINESS'!A19&lt;&gt;"",IF('08 - READINESS'!B19="","",'08 - READINESS'!B19),"")</f>
        <v>Cutover</v>
      </c>
      <c r="AC247" t="str">
        <f>IF('08 - READINESS'!A19&lt;&gt;"",IF('08 - READINESS'!G19="","",'08 - READINESS'!G19),"")</f>
        <v xml:space="preserve">RELEASE BLOCKER READINESS UNKNOWN </v>
      </c>
      <c r="AD247" t="str">
        <f>IF('08 - READINESS'!A19&lt;&gt;"",IF('08 - READINESS'!H19="","",'08 - READINESS'!H19),"")</f>
        <v>Hold release or obtain explicit authorised risk acceptance.</v>
      </c>
      <c r="AE247" t="str">
        <f>IF('08 - READINESS'!A19&lt;&gt;"",IF('08 - READINESS'!D19="","",'08 - READINESS'!D19),"")</f>
        <v>Service owner</v>
      </c>
      <c r="AF247" s="17">
        <f>IF('08 - READINESS'!A19&lt;&gt;"",IF('08 - READINESS'!E19="","",'08 - READINESS'!E19),"")</f>
        <v>46294</v>
      </c>
      <c r="AG247" t="str">
        <f>IF('08 - READINESS'!A19&lt;&gt;"",IF('08 - READINESS'!I19="","",'08 - READINESS'!I19),"")</f>
        <v>Receiving team needs operational evidence</v>
      </c>
      <c r="AH247" t="str">
        <f>IF('08 - READINESS'!A19&lt;&gt;"",IF('08 - READINESS'!J19="","",'08 - READINESS'!J19),"")</f>
        <v/>
      </c>
      <c r="AI247" t="str">
        <f>IF('08 - READINESS'!A19&lt;&gt;"",IF('08 - READINESS'!C19="","",'08 - READINESS'!C19),"")</f>
        <v>Unknown</v>
      </c>
      <c r="AJ247" t="str">
        <f>IF('08 - READINESS'!A19&lt;&gt;"","08 - READINESS row 19","")</f>
        <v>08 - READINESS row 19</v>
      </c>
      <c r="AK247">
        <f>IF(AND('08 - READINESS'!A19&lt;&gt;"",OR('08 - READINESS'!C19&lt;&gt;"Pass",'08 - READINESS'!G19&lt;&gt;""),OR(AC247&lt;&gt;"",AD247&lt;&gt;"")),IF(Y247="Critical",1,IF(Y247="Review",2,3))*100000000+IF(ISNUMBER(AF247),AF247,99999)*1000+ROW(),999999999999)</f>
        <v>146294247</v>
      </c>
      <c r="AL247">
        <f t="shared" si="23"/>
        <v>146294247</v>
      </c>
      <c r="AM247">
        <f t="shared" si="27"/>
        <v>999999999999</v>
      </c>
      <c r="AN247">
        <f>IF(AND(ISNUMBER(AK247),'08 - READINESS'!V19="Yes"),AK247,999999999999)</f>
        <v>146294247</v>
      </c>
      <c r="AO247">
        <f t="shared" si="25"/>
        <v>46294247</v>
      </c>
      <c r="AP247">
        <f t="shared" si="22"/>
        <v>999999999999</v>
      </c>
      <c r="AQ247">
        <f t="shared" si="21"/>
        <v>999999999999</v>
      </c>
      <c r="AR247">
        <f t="shared" si="26"/>
        <v>1</v>
      </c>
    </row>
    <row r="248" spans="25:44">
      <c r="Y248" t="str">
        <f>IF('08 - READINESS'!A20&lt;&gt;"",IF('08 - READINESS'!F20="","",'08 - READINESS'!F20),"")</f>
        <v>Critical</v>
      </c>
      <c r="Z248" t="str">
        <f>IF('08 - READINESS'!A20&lt;&gt;"","Readiness","")</f>
        <v>Readiness</v>
      </c>
      <c r="AA248" t="str">
        <f>IF('08 - READINESS'!A20&lt;&gt;"",IF('08 - READINESS'!A20="","",'08 - READINESS'!A20),"")</f>
        <v>R-12</v>
      </c>
      <c r="AB248" t="str">
        <f>IF('08 - READINESS'!A20&lt;&gt;"",IF('08 - READINESS'!B20="","",'08 - READINESS'!B20),"")</f>
        <v>Rollback</v>
      </c>
      <c r="AC248" t="str">
        <f>IF('08 - READINESS'!A20&lt;&gt;"",IF('08 - READINESS'!G20="","",'08 - READINESS'!G20),"")</f>
        <v xml:space="preserve">RELEASE BLOCKER READINESS UNKNOWN </v>
      </c>
      <c r="AD248" t="str">
        <f>IF('08 - READINESS'!A20&lt;&gt;"",IF('08 - READINESS'!H20="","",'08 - READINESS'!H20),"")</f>
        <v>Hold release or obtain explicit authorised risk acceptance.</v>
      </c>
      <c r="AE248" t="str">
        <f>IF('08 - READINESS'!A20&lt;&gt;"",IF('08 - READINESS'!D20="","",'08 - READINESS'!D20),"")</f>
        <v>Service owner</v>
      </c>
      <c r="AF248" s="17">
        <f>IF('08 - READINESS'!A20&lt;&gt;"",IF('08 - READINESS'!E20="","",'08 - READINESS'!E20),"")</f>
        <v>46294</v>
      </c>
      <c r="AG248" t="str">
        <f>IF('08 - READINESS'!A20&lt;&gt;"",IF('08 - READINESS'!I20="","",'08 - READINESS'!I20),"")</f>
        <v>Receiving team needs operational evidence</v>
      </c>
      <c r="AH248" t="str">
        <f>IF('08 - READINESS'!A20&lt;&gt;"",IF('08 - READINESS'!J20="","",'08 - READINESS'!J20),"")</f>
        <v/>
      </c>
      <c r="AI248" t="str">
        <f>IF('08 - READINESS'!A20&lt;&gt;"",IF('08 - READINESS'!C20="","",'08 - READINESS'!C20),"")</f>
        <v>Unknown</v>
      </c>
      <c r="AJ248" t="str">
        <f>IF('08 - READINESS'!A20&lt;&gt;"","08 - READINESS row 20","")</f>
        <v>08 - READINESS row 20</v>
      </c>
      <c r="AK248">
        <f>IF(AND('08 - READINESS'!A20&lt;&gt;"",OR('08 - READINESS'!C20&lt;&gt;"Pass",'08 - READINESS'!G20&lt;&gt;""),OR(AC248&lt;&gt;"",AD248&lt;&gt;"")),IF(Y248="Critical",1,IF(Y248="Review",2,3))*100000000+IF(ISNUMBER(AF248),AF248,99999)*1000+ROW(),999999999999)</f>
        <v>146294248</v>
      </c>
      <c r="AL248">
        <f t="shared" si="23"/>
        <v>146294248</v>
      </c>
      <c r="AM248">
        <f t="shared" si="27"/>
        <v>999999999999</v>
      </c>
      <c r="AN248">
        <f>IF(AND(ISNUMBER(AK248),'08 - READINESS'!V20="Yes"),AK248,999999999999)</f>
        <v>146294248</v>
      </c>
      <c r="AO248">
        <f t="shared" si="25"/>
        <v>46294248</v>
      </c>
      <c r="AP248">
        <f t="shared" si="22"/>
        <v>999999999999</v>
      </c>
      <c r="AQ248">
        <f t="shared" si="21"/>
        <v>999999999999</v>
      </c>
      <c r="AR248">
        <f t="shared" si="26"/>
        <v>1</v>
      </c>
    </row>
    <row r="249" spans="25:44">
      <c r="Y249" t="str">
        <f>IF('08 - READINESS'!A21&lt;&gt;"",IF('08 - READINESS'!F21="","",'08 - READINESS'!F21),"")</f>
        <v/>
      </c>
      <c r="Z249" t="str">
        <f>IF('08 - READINESS'!A21&lt;&gt;"","Readiness","")</f>
        <v/>
      </c>
      <c r="AA249" t="str">
        <f>IF('08 - READINESS'!A21&lt;&gt;"",IF('08 - READINESS'!A21="","",'08 - READINESS'!A21),"")</f>
        <v/>
      </c>
      <c r="AB249" t="str">
        <f>IF('08 - READINESS'!A21&lt;&gt;"",IF('08 - READINESS'!B21="","",'08 - READINESS'!B21),"")</f>
        <v/>
      </c>
      <c r="AC249" t="str">
        <f>IF('08 - READINESS'!A21&lt;&gt;"",IF('08 - READINESS'!G21="","",'08 - READINESS'!G21),"")</f>
        <v/>
      </c>
      <c r="AD249" t="str">
        <f>IF('08 - READINESS'!A21&lt;&gt;"",IF('08 - READINESS'!H21="","",'08 - READINESS'!H21),"")</f>
        <v/>
      </c>
      <c r="AE249" t="str">
        <f>IF('08 - READINESS'!A21&lt;&gt;"",IF('08 - READINESS'!D21="","",'08 - READINESS'!D21),"")</f>
        <v/>
      </c>
      <c r="AF249" s="17" t="str">
        <f>IF('08 - READINESS'!A21&lt;&gt;"",IF('08 - READINESS'!E21="","",'08 - READINESS'!E21),"")</f>
        <v/>
      </c>
      <c r="AG249" t="str">
        <f>IF('08 - READINESS'!A21&lt;&gt;"",IF('08 - READINESS'!I21="","",'08 - READINESS'!I21),"")</f>
        <v/>
      </c>
      <c r="AH249" t="str">
        <f>IF('08 - READINESS'!A21&lt;&gt;"",IF('08 - READINESS'!J21="","",'08 - READINESS'!J21),"")</f>
        <v/>
      </c>
      <c r="AI249" t="str">
        <f>IF('08 - READINESS'!A21&lt;&gt;"",IF('08 - READINESS'!C21="","",'08 - READINESS'!C21),"")</f>
        <v/>
      </c>
      <c r="AJ249" t="str">
        <f>IF('08 - READINESS'!A21&lt;&gt;"","08 - READINESS row 21","")</f>
        <v/>
      </c>
      <c r="AK249">
        <f>IF(AND('08 - READINESS'!A21&lt;&gt;"",OR('08 - READINESS'!C21&lt;&gt;"Pass",'08 - READINESS'!G21&lt;&gt;""),OR(AC249&lt;&gt;"",AD249&lt;&gt;"")),IF(Y249="Critical",1,IF(Y249="Review",2,3))*100000000+IF(ISNUMBER(AF249),AF249,99999)*1000+ROW(),999999999999)</f>
        <v>999999999999</v>
      </c>
      <c r="AL249">
        <f t="shared" si="23"/>
        <v>999999999999</v>
      </c>
      <c r="AM249">
        <f t="shared" si="27"/>
        <v>999999999999</v>
      </c>
      <c r="AN249">
        <f>IF(AND(ISNUMBER(AK249),'08 - READINESS'!V21="Yes"),AK249,999999999999)</f>
        <v>999999999999</v>
      </c>
      <c r="AO249">
        <f t="shared" si="25"/>
        <v>999999999999</v>
      </c>
      <c r="AP249">
        <f t="shared" si="22"/>
        <v>999999999999</v>
      </c>
      <c r="AQ249">
        <f t="shared" si="21"/>
        <v>999999999999</v>
      </c>
      <c r="AR249">
        <f t="shared" si="26"/>
        <v>0</v>
      </c>
    </row>
    <row r="250" spans="25:44">
      <c r="Y250" t="str">
        <f>IF('08 - READINESS'!A22&lt;&gt;"",IF('08 - READINESS'!F22="","",'08 - READINESS'!F22),"")</f>
        <v/>
      </c>
      <c r="Z250" t="str">
        <f>IF('08 - READINESS'!A22&lt;&gt;"","Readiness","")</f>
        <v/>
      </c>
      <c r="AA250" t="str">
        <f>IF('08 - READINESS'!A22&lt;&gt;"",IF('08 - READINESS'!A22="","",'08 - READINESS'!A22),"")</f>
        <v/>
      </c>
      <c r="AB250" t="str">
        <f>IF('08 - READINESS'!A22&lt;&gt;"",IF('08 - READINESS'!B22="","",'08 - READINESS'!B22),"")</f>
        <v/>
      </c>
      <c r="AC250" t="str">
        <f>IF('08 - READINESS'!A22&lt;&gt;"",IF('08 - READINESS'!G22="","",'08 - READINESS'!G22),"")</f>
        <v/>
      </c>
      <c r="AD250" t="str">
        <f>IF('08 - READINESS'!A22&lt;&gt;"",IF('08 - READINESS'!H22="","",'08 - READINESS'!H22),"")</f>
        <v/>
      </c>
      <c r="AE250" t="str">
        <f>IF('08 - READINESS'!A22&lt;&gt;"",IF('08 - READINESS'!D22="","",'08 - READINESS'!D22),"")</f>
        <v/>
      </c>
      <c r="AF250" s="17" t="str">
        <f>IF('08 - READINESS'!A22&lt;&gt;"",IF('08 - READINESS'!E22="","",'08 - READINESS'!E22),"")</f>
        <v/>
      </c>
      <c r="AG250" t="str">
        <f>IF('08 - READINESS'!A22&lt;&gt;"",IF('08 - READINESS'!I22="","",'08 - READINESS'!I22),"")</f>
        <v/>
      </c>
      <c r="AH250" t="str">
        <f>IF('08 - READINESS'!A22&lt;&gt;"",IF('08 - READINESS'!J22="","",'08 - READINESS'!J22),"")</f>
        <v/>
      </c>
      <c r="AI250" t="str">
        <f>IF('08 - READINESS'!A22&lt;&gt;"",IF('08 - READINESS'!C22="","",'08 - READINESS'!C22),"")</f>
        <v/>
      </c>
      <c r="AJ250" t="str">
        <f>IF('08 - READINESS'!A22&lt;&gt;"","08 - READINESS row 22","")</f>
        <v/>
      </c>
      <c r="AK250">
        <f>IF(AND('08 - READINESS'!A22&lt;&gt;"",OR('08 - READINESS'!C22&lt;&gt;"Pass",'08 - READINESS'!G22&lt;&gt;""),OR(AC250&lt;&gt;"",AD250&lt;&gt;"")),IF(Y250="Critical",1,IF(Y250="Review",2,3))*100000000+IF(ISNUMBER(AF250),AF250,99999)*1000+ROW(),999999999999)</f>
        <v>999999999999</v>
      </c>
      <c r="AL250">
        <f t="shared" si="23"/>
        <v>999999999999</v>
      </c>
      <c r="AM250">
        <f t="shared" si="27"/>
        <v>999999999999</v>
      </c>
      <c r="AN250">
        <f>IF(AND(ISNUMBER(AK250),'08 - READINESS'!V22="Yes"),AK250,999999999999)</f>
        <v>999999999999</v>
      </c>
      <c r="AO250">
        <f t="shared" si="25"/>
        <v>999999999999</v>
      </c>
      <c r="AP250">
        <f t="shared" si="22"/>
        <v>999999999999</v>
      </c>
      <c r="AQ250">
        <f t="shared" si="21"/>
        <v>999999999999</v>
      </c>
      <c r="AR250">
        <f t="shared" si="26"/>
        <v>0</v>
      </c>
    </row>
    <row r="251" spans="25:44">
      <c r="Y251" t="str">
        <f>IF('08 - READINESS'!A23&lt;&gt;"",IF('08 - READINESS'!F23="","",'08 - READINESS'!F23),"")</f>
        <v/>
      </c>
      <c r="Z251" t="str">
        <f>IF('08 - READINESS'!A23&lt;&gt;"","Readiness","")</f>
        <v/>
      </c>
      <c r="AA251" t="str">
        <f>IF('08 - READINESS'!A23&lt;&gt;"",IF('08 - READINESS'!A23="","",'08 - READINESS'!A23),"")</f>
        <v/>
      </c>
      <c r="AB251" t="str">
        <f>IF('08 - READINESS'!A23&lt;&gt;"",IF('08 - READINESS'!B23="","",'08 - READINESS'!B23),"")</f>
        <v/>
      </c>
      <c r="AC251" t="str">
        <f>IF('08 - READINESS'!A23&lt;&gt;"",IF('08 - READINESS'!G23="","",'08 - READINESS'!G23),"")</f>
        <v/>
      </c>
      <c r="AD251" t="str">
        <f>IF('08 - READINESS'!A23&lt;&gt;"",IF('08 - READINESS'!H23="","",'08 - READINESS'!H23),"")</f>
        <v/>
      </c>
      <c r="AE251" t="str">
        <f>IF('08 - READINESS'!A23&lt;&gt;"",IF('08 - READINESS'!D23="","",'08 - READINESS'!D23),"")</f>
        <v/>
      </c>
      <c r="AF251" s="17" t="str">
        <f>IF('08 - READINESS'!A23&lt;&gt;"",IF('08 - READINESS'!E23="","",'08 - READINESS'!E23),"")</f>
        <v/>
      </c>
      <c r="AG251" t="str">
        <f>IF('08 - READINESS'!A23&lt;&gt;"",IF('08 - READINESS'!I23="","",'08 - READINESS'!I23),"")</f>
        <v/>
      </c>
      <c r="AH251" t="str">
        <f>IF('08 - READINESS'!A23&lt;&gt;"",IF('08 - READINESS'!J23="","",'08 - READINESS'!J23),"")</f>
        <v/>
      </c>
      <c r="AI251" t="str">
        <f>IF('08 - READINESS'!A23&lt;&gt;"",IF('08 - READINESS'!C23="","",'08 - READINESS'!C23),"")</f>
        <v/>
      </c>
      <c r="AJ251" t="str">
        <f>IF('08 - READINESS'!A23&lt;&gt;"","08 - READINESS row 23","")</f>
        <v/>
      </c>
      <c r="AK251">
        <f>IF(AND('08 - READINESS'!A23&lt;&gt;"",OR('08 - READINESS'!C23&lt;&gt;"Pass",'08 - READINESS'!G23&lt;&gt;""),OR(AC251&lt;&gt;"",AD251&lt;&gt;"")),IF(Y251="Critical",1,IF(Y251="Review",2,3))*100000000+IF(ISNUMBER(AF251),AF251,99999)*1000+ROW(),999999999999)</f>
        <v>999999999999</v>
      </c>
      <c r="AL251">
        <f t="shared" si="23"/>
        <v>999999999999</v>
      </c>
      <c r="AM251">
        <f t="shared" si="27"/>
        <v>999999999999</v>
      </c>
      <c r="AN251">
        <f>IF(AND(ISNUMBER(AK251),'08 - READINESS'!V23="Yes"),AK251,999999999999)</f>
        <v>999999999999</v>
      </c>
      <c r="AO251">
        <f t="shared" si="25"/>
        <v>999999999999</v>
      </c>
      <c r="AP251">
        <f t="shared" si="22"/>
        <v>999999999999</v>
      </c>
      <c r="AQ251">
        <f t="shared" si="21"/>
        <v>999999999999</v>
      </c>
      <c r="AR251">
        <f t="shared" si="26"/>
        <v>0</v>
      </c>
    </row>
    <row r="252" spans="25:44">
      <c r="Y252" t="str">
        <f>IF('08 - READINESS'!A24&lt;&gt;"",IF('08 - READINESS'!F24="","",'08 - READINESS'!F24),"")</f>
        <v/>
      </c>
      <c r="Z252" t="str">
        <f>IF('08 - READINESS'!A24&lt;&gt;"","Readiness","")</f>
        <v/>
      </c>
      <c r="AA252" t="str">
        <f>IF('08 - READINESS'!A24&lt;&gt;"",IF('08 - READINESS'!A24="","",'08 - READINESS'!A24),"")</f>
        <v/>
      </c>
      <c r="AB252" t="str">
        <f>IF('08 - READINESS'!A24&lt;&gt;"",IF('08 - READINESS'!B24="","",'08 - READINESS'!B24),"")</f>
        <v/>
      </c>
      <c r="AC252" t="str">
        <f>IF('08 - READINESS'!A24&lt;&gt;"",IF('08 - READINESS'!G24="","",'08 - READINESS'!G24),"")</f>
        <v/>
      </c>
      <c r="AD252" t="str">
        <f>IF('08 - READINESS'!A24&lt;&gt;"",IF('08 - READINESS'!H24="","",'08 - READINESS'!H24),"")</f>
        <v/>
      </c>
      <c r="AE252" t="str">
        <f>IF('08 - READINESS'!A24&lt;&gt;"",IF('08 - READINESS'!D24="","",'08 - READINESS'!D24),"")</f>
        <v/>
      </c>
      <c r="AF252" s="17" t="str">
        <f>IF('08 - READINESS'!A24&lt;&gt;"",IF('08 - READINESS'!E24="","",'08 - READINESS'!E24),"")</f>
        <v/>
      </c>
      <c r="AG252" t="str">
        <f>IF('08 - READINESS'!A24&lt;&gt;"",IF('08 - READINESS'!I24="","",'08 - READINESS'!I24),"")</f>
        <v/>
      </c>
      <c r="AH252" t="str">
        <f>IF('08 - READINESS'!A24&lt;&gt;"",IF('08 - READINESS'!J24="","",'08 - READINESS'!J24),"")</f>
        <v/>
      </c>
      <c r="AI252" t="str">
        <f>IF('08 - READINESS'!A24&lt;&gt;"",IF('08 - READINESS'!C24="","",'08 - READINESS'!C24),"")</f>
        <v/>
      </c>
      <c r="AJ252" t="str">
        <f>IF('08 - READINESS'!A24&lt;&gt;"","08 - READINESS row 24","")</f>
        <v/>
      </c>
      <c r="AK252">
        <f>IF(AND('08 - READINESS'!A24&lt;&gt;"",OR('08 - READINESS'!C24&lt;&gt;"Pass",'08 - READINESS'!G24&lt;&gt;""),OR(AC252&lt;&gt;"",AD252&lt;&gt;"")),IF(Y252="Critical",1,IF(Y252="Review",2,3))*100000000+IF(ISNUMBER(AF252),AF252,99999)*1000+ROW(),999999999999)</f>
        <v>999999999999</v>
      </c>
      <c r="AL252">
        <f t="shared" si="23"/>
        <v>999999999999</v>
      </c>
      <c r="AM252">
        <f t="shared" si="27"/>
        <v>999999999999</v>
      </c>
      <c r="AN252">
        <f>IF(AND(ISNUMBER(AK252),'08 - READINESS'!V24="Yes"),AK252,999999999999)</f>
        <v>999999999999</v>
      </c>
      <c r="AO252">
        <f t="shared" si="25"/>
        <v>999999999999</v>
      </c>
      <c r="AP252">
        <f t="shared" si="22"/>
        <v>999999999999</v>
      </c>
      <c r="AQ252">
        <f t="shared" si="21"/>
        <v>999999999999</v>
      </c>
      <c r="AR252">
        <f t="shared" si="26"/>
        <v>0</v>
      </c>
    </row>
    <row r="253" spans="25:44">
      <c r="Y253" t="str">
        <f>IF('08 - READINESS'!A25&lt;&gt;"",IF('08 - READINESS'!F25="","",'08 - READINESS'!F25),"")</f>
        <v/>
      </c>
      <c r="Z253" t="str">
        <f>IF('08 - READINESS'!A25&lt;&gt;"","Readiness","")</f>
        <v/>
      </c>
      <c r="AA253" t="str">
        <f>IF('08 - READINESS'!A25&lt;&gt;"",IF('08 - READINESS'!A25="","",'08 - READINESS'!A25),"")</f>
        <v/>
      </c>
      <c r="AB253" t="str">
        <f>IF('08 - READINESS'!A25&lt;&gt;"",IF('08 - READINESS'!B25="","",'08 - READINESS'!B25),"")</f>
        <v/>
      </c>
      <c r="AC253" t="str">
        <f>IF('08 - READINESS'!A25&lt;&gt;"",IF('08 - READINESS'!G25="","",'08 - READINESS'!G25),"")</f>
        <v/>
      </c>
      <c r="AD253" t="str">
        <f>IF('08 - READINESS'!A25&lt;&gt;"",IF('08 - READINESS'!H25="","",'08 - READINESS'!H25),"")</f>
        <v/>
      </c>
      <c r="AE253" t="str">
        <f>IF('08 - READINESS'!A25&lt;&gt;"",IF('08 - READINESS'!D25="","",'08 - READINESS'!D25),"")</f>
        <v/>
      </c>
      <c r="AF253" s="17" t="str">
        <f>IF('08 - READINESS'!A25&lt;&gt;"",IF('08 - READINESS'!E25="","",'08 - READINESS'!E25),"")</f>
        <v/>
      </c>
      <c r="AG253" t="str">
        <f>IF('08 - READINESS'!A25&lt;&gt;"",IF('08 - READINESS'!I25="","",'08 - READINESS'!I25),"")</f>
        <v/>
      </c>
      <c r="AH253" t="str">
        <f>IF('08 - READINESS'!A25&lt;&gt;"",IF('08 - READINESS'!J25="","",'08 - READINESS'!J25),"")</f>
        <v/>
      </c>
      <c r="AI253" t="str">
        <f>IF('08 - READINESS'!A25&lt;&gt;"",IF('08 - READINESS'!C25="","",'08 - READINESS'!C25),"")</f>
        <v/>
      </c>
      <c r="AJ253" t="str">
        <f>IF('08 - READINESS'!A25&lt;&gt;"","08 - READINESS row 25","")</f>
        <v/>
      </c>
      <c r="AK253">
        <f>IF(AND('08 - READINESS'!A25&lt;&gt;"",OR('08 - READINESS'!C25&lt;&gt;"Pass",'08 - READINESS'!G25&lt;&gt;""),OR(AC253&lt;&gt;"",AD253&lt;&gt;"")),IF(Y253="Critical",1,IF(Y253="Review",2,3))*100000000+IF(ISNUMBER(AF253),AF253,99999)*1000+ROW(),999999999999)</f>
        <v>999999999999</v>
      </c>
      <c r="AL253">
        <f t="shared" si="23"/>
        <v>999999999999</v>
      </c>
      <c r="AM253">
        <f t="shared" si="27"/>
        <v>999999999999</v>
      </c>
      <c r="AN253">
        <f>IF(AND(ISNUMBER(AK253),'08 - READINESS'!V25="Yes"),AK253,999999999999)</f>
        <v>999999999999</v>
      </c>
      <c r="AO253">
        <f t="shared" si="25"/>
        <v>999999999999</v>
      </c>
      <c r="AP253">
        <f t="shared" si="22"/>
        <v>999999999999</v>
      </c>
      <c r="AQ253">
        <f t="shared" si="21"/>
        <v>999999999999</v>
      </c>
      <c r="AR253">
        <f t="shared" si="26"/>
        <v>0</v>
      </c>
    </row>
    <row r="254" spans="25:44">
      <c r="Y254" t="str">
        <f>IF('08 - READINESS'!A26&lt;&gt;"",IF('08 - READINESS'!F26="","",'08 - READINESS'!F26),"")</f>
        <v/>
      </c>
      <c r="Z254" t="str">
        <f>IF('08 - READINESS'!A26&lt;&gt;"","Readiness","")</f>
        <v/>
      </c>
      <c r="AA254" t="str">
        <f>IF('08 - READINESS'!A26&lt;&gt;"",IF('08 - READINESS'!A26="","",'08 - READINESS'!A26),"")</f>
        <v/>
      </c>
      <c r="AB254" t="str">
        <f>IF('08 - READINESS'!A26&lt;&gt;"",IF('08 - READINESS'!B26="","",'08 - READINESS'!B26),"")</f>
        <v/>
      </c>
      <c r="AC254" t="str">
        <f>IF('08 - READINESS'!A26&lt;&gt;"",IF('08 - READINESS'!G26="","",'08 - READINESS'!G26),"")</f>
        <v/>
      </c>
      <c r="AD254" t="str">
        <f>IF('08 - READINESS'!A26&lt;&gt;"",IF('08 - READINESS'!H26="","",'08 - READINESS'!H26),"")</f>
        <v/>
      </c>
      <c r="AE254" t="str">
        <f>IF('08 - READINESS'!A26&lt;&gt;"",IF('08 - READINESS'!D26="","",'08 - READINESS'!D26),"")</f>
        <v/>
      </c>
      <c r="AF254" s="17" t="str">
        <f>IF('08 - READINESS'!A26&lt;&gt;"",IF('08 - READINESS'!E26="","",'08 - READINESS'!E26),"")</f>
        <v/>
      </c>
      <c r="AG254" t="str">
        <f>IF('08 - READINESS'!A26&lt;&gt;"",IF('08 - READINESS'!I26="","",'08 - READINESS'!I26),"")</f>
        <v/>
      </c>
      <c r="AH254" t="str">
        <f>IF('08 - READINESS'!A26&lt;&gt;"",IF('08 - READINESS'!J26="","",'08 - READINESS'!J26),"")</f>
        <v/>
      </c>
      <c r="AI254" t="str">
        <f>IF('08 - READINESS'!A26&lt;&gt;"",IF('08 - READINESS'!C26="","",'08 - READINESS'!C26),"")</f>
        <v/>
      </c>
      <c r="AJ254" t="str">
        <f>IF('08 - READINESS'!A26&lt;&gt;"","08 - READINESS row 26","")</f>
        <v/>
      </c>
      <c r="AK254">
        <f>IF(AND('08 - READINESS'!A26&lt;&gt;"",OR('08 - READINESS'!C26&lt;&gt;"Pass",'08 - READINESS'!G26&lt;&gt;""),OR(AC254&lt;&gt;"",AD254&lt;&gt;"")),IF(Y254="Critical",1,IF(Y254="Review",2,3))*100000000+IF(ISNUMBER(AF254),AF254,99999)*1000+ROW(),999999999999)</f>
        <v>999999999999</v>
      </c>
      <c r="AL254">
        <f t="shared" si="23"/>
        <v>999999999999</v>
      </c>
      <c r="AM254">
        <f t="shared" si="27"/>
        <v>999999999999</v>
      </c>
      <c r="AN254">
        <f>IF(AND(ISNUMBER(AK254),'08 - READINESS'!V26="Yes"),AK254,999999999999)</f>
        <v>999999999999</v>
      </c>
      <c r="AO254">
        <f t="shared" si="25"/>
        <v>999999999999</v>
      </c>
      <c r="AP254">
        <f t="shared" si="22"/>
        <v>999999999999</v>
      </c>
      <c r="AQ254">
        <f t="shared" si="21"/>
        <v>999999999999</v>
      </c>
      <c r="AR254">
        <f t="shared" si="26"/>
        <v>0</v>
      </c>
    </row>
    <row r="255" spans="25:44">
      <c r="Y255" t="str">
        <f>IF('08 - READINESS'!A27&lt;&gt;"",IF('08 - READINESS'!F27="","",'08 - READINESS'!F27),"")</f>
        <v/>
      </c>
      <c r="Z255" t="str">
        <f>IF('08 - READINESS'!A27&lt;&gt;"","Readiness","")</f>
        <v/>
      </c>
      <c r="AA255" t="str">
        <f>IF('08 - READINESS'!A27&lt;&gt;"",IF('08 - READINESS'!A27="","",'08 - READINESS'!A27),"")</f>
        <v/>
      </c>
      <c r="AB255" t="str">
        <f>IF('08 - READINESS'!A27&lt;&gt;"",IF('08 - READINESS'!B27="","",'08 - READINESS'!B27),"")</f>
        <v/>
      </c>
      <c r="AC255" t="str">
        <f>IF('08 - READINESS'!A27&lt;&gt;"",IF('08 - READINESS'!G27="","",'08 - READINESS'!G27),"")</f>
        <v/>
      </c>
      <c r="AD255" t="str">
        <f>IF('08 - READINESS'!A27&lt;&gt;"",IF('08 - READINESS'!H27="","",'08 - READINESS'!H27),"")</f>
        <v/>
      </c>
      <c r="AE255" t="str">
        <f>IF('08 - READINESS'!A27&lt;&gt;"",IF('08 - READINESS'!D27="","",'08 - READINESS'!D27),"")</f>
        <v/>
      </c>
      <c r="AF255" s="17" t="str">
        <f>IF('08 - READINESS'!A27&lt;&gt;"",IF('08 - READINESS'!E27="","",'08 - READINESS'!E27),"")</f>
        <v/>
      </c>
      <c r="AG255" t="str">
        <f>IF('08 - READINESS'!A27&lt;&gt;"",IF('08 - READINESS'!I27="","",'08 - READINESS'!I27),"")</f>
        <v/>
      </c>
      <c r="AH255" t="str">
        <f>IF('08 - READINESS'!A27&lt;&gt;"",IF('08 - READINESS'!J27="","",'08 - READINESS'!J27),"")</f>
        <v/>
      </c>
      <c r="AI255" t="str">
        <f>IF('08 - READINESS'!A27&lt;&gt;"",IF('08 - READINESS'!C27="","",'08 - READINESS'!C27),"")</f>
        <v/>
      </c>
      <c r="AJ255" t="str">
        <f>IF('08 - READINESS'!A27&lt;&gt;"","08 - READINESS row 27","")</f>
        <v/>
      </c>
      <c r="AK255">
        <f>IF(AND('08 - READINESS'!A27&lt;&gt;"",OR('08 - READINESS'!C27&lt;&gt;"Pass",'08 - READINESS'!G27&lt;&gt;""),OR(AC255&lt;&gt;"",AD255&lt;&gt;"")),IF(Y255="Critical",1,IF(Y255="Review",2,3))*100000000+IF(ISNUMBER(AF255),AF255,99999)*1000+ROW(),999999999999)</f>
        <v>999999999999</v>
      </c>
      <c r="AL255">
        <f t="shared" si="23"/>
        <v>999999999999</v>
      </c>
      <c r="AM255">
        <f t="shared" si="27"/>
        <v>999999999999</v>
      </c>
      <c r="AN255">
        <f>IF(AND(ISNUMBER(AK255),'08 - READINESS'!V27="Yes"),AK255,999999999999)</f>
        <v>999999999999</v>
      </c>
      <c r="AO255">
        <f t="shared" si="25"/>
        <v>999999999999</v>
      </c>
      <c r="AP255">
        <f t="shared" si="22"/>
        <v>999999999999</v>
      </c>
      <c r="AQ255">
        <f t="shared" si="21"/>
        <v>999999999999</v>
      </c>
      <c r="AR255">
        <f t="shared" si="26"/>
        <v>0</v>
      </c>
    </row>
    <row r="256" spans="25:44">
      <c r="Y256" t="str">
        <f>IF('08 - READINESS'!A28&lt;&gt;"",IF('08 - READINESS'!F28="","",'08 - READINESS'!F28),"")</f>
        <v/>
      </c>
      <c r="Z256" t="str">
        <f>IF('08 - READINESS'!A28&lt;&gt;"","Readiness","")</f>
        <v/>
      </c>
      <c r="AA256" t="str">
        <f>IF('08 - READINESS'!A28&lt;&gt;"",IF('08 - READINESS'!A28="","",'08 - READINESS'!A28),"")</f>
        <v/>
      </c>
      <c r="AB256" t="str">
        <f>IF('08 - READINESS'!A28&lt;&gt;"",IF('08 - READINESS'!B28="","",'08 - READINESS'!B28),"")</f>
        <v/>
      </c>
      <c r="AC256" t="str">
        <f>IF('08 - READINESS'!A28&lt;&gt;"",IF('08 - READINESS'!G28="","",'08 - READINESS'!G28),"")</f>
        <v/>
      </c>
      <c r="AD256" t="str">
        <f>IF('08 - READINESS'!A28&lt;&gt;"",IF('08 - READINESS'!H28="","",'08 - READINESS'!H28),"")</f>
        <v/>
      </c>
      <c r="AE256" t="str">
        <f>IF('08 - READINESS'!A28&lt;&gt;"",IF('08 - READINESS'!D28="","",'08 - READINESS'!D28),"")</f>
        <v/>
      </c>
      <c r="AF256" s="17" t="str">
        <f>IF('08 - READINESS'!A28&lt;&gt;"",IF('08 - READINESS'!E28="","",'08 - READINESS'!E28),"")</f>
        <v/>
      </c>
      <c r="AG256" t="str">
        <f>IF('08 - READINESS'!A28&lt;&gt;"",IF('08 - READINESS'!I28="","",'08 - READINESS'!I28),"")</f>
        <v/>
      </c>
      <c r="AH256" t="str">
        <f>IF('08 - READINESS'!A28&lt;&gt;"",IF('08 - READINESS'!J28="","",'08 - READINESS'!J28),"")</f>
        <v/>
      </c>
      <c r="AI256" t="str">
        <f>IF('08 - READINESS'!A28&lt;&gt;"",IF('08 - READINESS'!C28="","",'08 - READINESS'!C28),"")</f>
        <v/>
      </c>
      <c r="AJ256" t="str">
        <f>IF('08 - READINESS'!A28&lt;&gt;"","08 - READINESS row 28","")</f>
        <v/>
      </c>
      <c r="AK256">
        <f>IF(AND('08 - READINESS'!A28&lt;&gt;"",OR('08 - READINESS'!C28&lt;&gt;"Pass",'08 - READINESS'!G28&lt;&gt;""),OR(AC256&lt;&gt;"",AD256&lt;&gt;"")),IF(Y256="Critical",1,IF(Y256="Review",2,3))*100000000+IF(ISNUMBER(AF256),AF256,99999)*1000+ROW(),999999999999)</f>
        <v>999999999999</v>
      </c>
      <c r="AL256">
        <f t="shared" si="23"/>
        <v>999999999999</v>
      </c>
      <c r="AM256">
        <f t="shared" si="27"/>
        <v>999999999999</v>
      </c>
      <c r="AN256">
        <f>IF(AND(ISNUMBER(AK256),'08 - READINESS'!V28="Yes"),AK256,999999999999)</f>
        <v>999999999999</v>
      </c>
      <c r="AO256">
        <f t="shared" si="25"/>
        <v>999999999999</v>
      </c>
      <c r="AP256">
        <f t="shared" si="22"/>
        <v>999999999999</v>
      </c>
      <c r="AQ256">
        <f t="shared" si="21"/>
        <v>999999999999</v>
      </c>
      <c r="AR256">
        <f t="shared" si="26"/>
        <v>0</v>
      </c>
    </row>
    <row r="257" spans="25:44">
      <c r="Y257" t="str">
        <f>IF('08 - READINESS'!A29&lt;&gt;"",IF('08 - READINESS'!F29="","",'08 - READINESS'!F29),"")</f>
        <v/>
      </c>
      <c r="Z257" t="str">
        <f>IF('08 - READINESS'!A29&lt;&gt;"","Readiness","")</f>
        <v/>
      </c>
      <c r="AA257" t="str">
        <f>IF('08 - READINESS'!A29&lt;&gt;"",IF('08 - READINESS'!A29="","",'08 - READINESS'!A29),"")</f>
        <v/>
      </c>
      <c r="AB257" t="str">
        <f>IF('08 - READINESS'!A29&lt;&gt;"",IF('08 - READINESS'!B29="","",'08 - READINESS'!B29),"")</f>
        <v/>
      </c>
      <c r="AC257" t="str">
        <f>IF('08 - READINESS'!A29&lt;&gt;"",IF('08 - READINESS'!G29="","",'08 - READINESS'!G29),"")</f>
        <v/>
      </c>
      <c r="AD257" t="str">
        <f>IF('08 - READINESS'!A29&lt;&gt;"",IF('08 - READINESS'!H29="","",'08 - READINESS'!H29),"")</f>
        <v/>
      </c>
      <c r="AE257" t="str">
        <f>IF('08 - READINESS'!A29&lt;&gt;"",IF('08 - READINESS'!D29="","",'08 - READINESS'!D29),"")</f>
        <v/>
      </c>
      <c r="AF257" s="17" t="str">
        <f>IF('08 - READINESS'!A29&lt;&gt;"",IF('08 - READINESS'!E29="","",'08 - READINESS'!E29),"")</f>
        <v/>
      </c>
      <c r="AG257" t="str">
        <f>IF('08 - READINESS'!A29&lt;&gt;"",IF('08 - READINESS'!I29="","",'08 - READINESS'!I29),"")</f>
        <v/>
      </c>
      <c r="AH257" t="str">
        <f>IF('08 - READINESS'!A29&lt;&gt;"",IF('08 - READINESS'!J29="","",'08 - READINESS'!J29),"")</f>
        <v/>
      </c>
      <c r="AI257" t="str">
        <f>IF('08 - READINESS'!A29&lt;&gt;"",IF('08 - READINESS'!C29="","",'08 - READINESS'!C29),"")</f>
        <v/>
      </c>
      <c r="AJ257" t="str">
        <f>IF('08 - READINESS'!A29&lt;&gt;"","08 - READINESS row 29","")</f>
        <v/>
      </c>
      <c r="AK257">
        <f>IF(AND('08 - READINESS'!A29&lt;&gt;"",OR('08 - READINESS'!C29&lt;&gt;"Pass",'08 - READINESS'!G29&lt;&gt;""),OR(AC257&lt;&gt;"",AD257&lt;&gt;"")),IF(Y257="Critical",1,IF(Y257="Review",2,3))*100000000+IF(ISNUMBER(AF257),AF257,99999)*1000+ROW(),999999999999)</f>
        <v>999999999999</v>
      </c>
      <c r="AL257">
        <f t="shared" si="23"/>
        <v>999999999999</v>
      </c>
      <c r="AM257">
        <f t="shared" si="27"/>
        <v>999999999999</v>
      </c>
      <c r="AN257">
        <f>IF(AND(ISNUMBER(AK257),'08 - READINESS'!V29="Yes"),AK257,999999999999)</f>
        <v>999999999999</v>
      </c>
      <c r="AO257">
        <f t="shared" si="25"/>
        <v>999999999999</v>
      </c>
      <c r="AP257">
        <f t="shared" si="22"/>
        <v>999999999999</v>
      </c>
      <c r="AQ257">
        <f t="shared" si="21"/>
        <v>999999999999</v>
      </c>
      <c r="AR257">
        <f t="shared" si="26"/>
        <v>0</v>
      </c>
    </row>
    <row r="258" spans="25:44">
      <c r="Y258" t="str">
        <f>IF('08 - READINESS'!A30&lt;&gt;"",IF('08 - READINESS'!F30="","",'08 - READINESS'!F30),"")</f>
        <v/>
      </c>
      <c r="Z258" t="str">
        <f>IF('08 - READINESS'!A30&lt;&gt;"","Readiness","")</f>
        <v/>
      </c>
      <c r="AA258" t="str">
        <f>IF('08 - READINESS'!A30&lt;&gt;"",IF('08 - READINESS'!A30="","",'08 - READINESS'!A30),"")</f>
        <v/>
      </c>
      <c r="AB258" t="str">
        <f>IF('08 - READINESS'!A30&lt;&gt;"",IF('08 - READINESS'!B30="","",'08 - READINESS'!B30),"")</f>
        <v/>
      </c>
      <c r="AC258" t="str">
        <f>IF('08 - READINESS'!A30&lt;&gt;"",IF('08 - READINESS'!G30="","",'08 - READINESS'!G30),"")</f>
        <v/>
      </c>
      <c r="AD258" t="str">
        <f>IF('08 - READINESS'!A30&lt;&gt;"",IF('08 - READINESS'!H30="","",'08 - READINESS'!H30),"")</f>
        <v/>
      </c>
      <c r="AE258" t="str">
        <f>IF('08 - READINESS'!A30&lt;&gt;"",IF('08 - READINESS'!D30="","",'08 - READINESS'!D30),"")</f>
        <v/>
      </c>
      <c r="AF258" s="17" t="str">
        <f>IF('08 - READINESS'!A30&lt;&gt;"",IF('08 - READINESS'!E30="","",'08 - READINESS'!E30),"")</f>
        <v/>
      </c>
      <c r="AG258" t="str">
        <f>IF('08 - READINESS'!A30&lt;&gt;"",IF('08 - READINESS'!I30="","",'08 - READINESS'!I30),"")</f>
        <v/>
      </c>
      <c r="AH258" t="str">
        <f>IF('08 - READINESS'!A30&lt;&gt;"",IF('08 - READINESS'!J30="","",'08 - READINESS'!J30),"")</f>
        <v/>
      </c>
      <c r="AI258" t="str">
        <f>IF('08 - READINESS'!A30&lt;&gt;"",IF('08 - READINESS'!C30="","",'08 - READINESS'!C30),"")</f>
        <v/>
      </c>
      <c r="AJ258" t="str">
        <f>IF('08 - READINESS'!A30&lt;&gt;"","08 - READINESS row 30","")</f>
        <v/>
      </c>
      <c r="AK258">
        <f>IF(AND('08 - READINESS'!A30&lt;&gt;"",OR('08 - READINESS'!C30&lt;&gt;"Pass",'08 - READINESS'!G30&lt;&gt;""),OR(AC258&lt;&gt;"",AD258&lt;&gt;"")),IF(Y258="Critical",1,IF(Y258="Review",2,3))*100000000+IF(ISNUMBER(AF258),AF258,99999)*1000+ROW(),999999999999)</f>
        <v>999999999999</v>
      </c>
      <c r="AL258">
        <f t="shared" si="23"/>
        <v>999999999999</v>
      </c>
      <c r="AM258">
        <f t="shared" si="27"/>
        <v>999999999999</v>
      </c>
      <c r="AN258">
        <f>IF(AND(ISNUMBER(AK258),'08 - READINESS'!V30="Yes"),AK258,999999999999)</f>
        <v>999999999999</v>
      </c>
      <c r="AO258">
        <f t="shared" si="25"/>
        <v>999999999999</v>
      </c>
      <c r="AP258">
        <f t="shared" si="22"/>
        <v>999999999999</v>
      </c>
      <c r="AQ258">
        <f t="shared" si="21"/>
        <v>999999999999</v>
      </c>
      <c r="AR258">
        <f t="shared" si="26"/>
        <v>0</v>
      </c>
    </row>
    <row r="259" spans="25:44">
      <c r="Y259" t="str">
        <f>IF('08 - READINESS'!A31&lt;&gt;"",IF('08 - READINESS'!F31="","",'08 - READINESS'!F31),"")</f>
        <v/>
      </c>
      <c r="Z259" t="str">
        <f>IF('08 - READINESS'!A31&lt;&gt;"","Readiness","")</f>
        <v/>
      </c>
      <c r="AA259" t="str">
        <f>IF('08 - READINESS'!A31&lt;&gt;"",IF('08 - READINESS'!A31="","",'08 - READINESS'!A31),"")</f>
        <v/>
      </c>
      <c r="AB259" t="str">
        <f>IF('08 - READINESS'!A31&lt;&gt;"",IF('08 - READINESS'!B31="","",'08 - READINESS'!B31),"")</f>
        <v/>
      </c>
      <c r="AC259" t="str">
        <f>IF('08 - READINESS'!A31&lt;&gt;"",IF('08 - READINESS'!G31="","",'08 - READINESS'!G31),"")</f>
        <v/>
      </c>
      <c r="AD259" t="str">
        <f>IF('08 - READINESS'!A31&lt;&gt;"",IF('08 - READINESS'!H31="","",'08 - READINESS'!H31),"")</f>
        <v/>
      </c>
      <c r="AE259" t="str">
        <f>IF('08 - READINESS'!A31&lt;&gt;"",IF('08 - READINESS'!D31="","",'08 - READINESS'!D31),"")</f>
        <v/>
      </c>
      <c r="AF259" s="17" t="str">
        <f>IF('08 - READINESS'!A31&lt;&gt;"",IF('08 - READINESS'!E31="","",'08 - READINESS'!E31),"")</f>
        <v/>
      </c>
      <c r="AG259" t="str">
        <f>IF('08 - READINESS'!A31&lt;&gt;"",IF('08 - READINESS'!I31="","",'08 - READINESS'!I31),"")</f>
        <v/>
      </c>
      <c r="AH259" t="str">
        <f>IF('08 - READINESS'!A31&lt;&gt;"",IF('08 - READINESS'!J31="","",'08 - READINESS'!J31),"")</f>
        <v/>
      </c>
      <c r="AI259" t="str">
        <f>IF('08 - READINESS'!A31&lt;&gt;"",IF('08 - READINESS'!C31="","",'08 - READINESS'!C31),"")</f>
        <v/>
      </c>
      <c r="AJ259" t="str">
        <f>IF('08 - READINESS'!A31&lt;&gt;"","08 - READINESS row 31","")</f>
        <v/>
      </c>
      <c r="AK259">
        <f>IF(AND('08 - READINESS'!A31&lt;&gt;"",OR('08 - READINESS'!C31&lt;&gt;"Pass",'08 - READINESS'!G31&lt;&gt;""),OR(AC259&lt;&gt;"",AD259&lt;&gt;"")),IF(Y259="Critical",1,IF(Y259="Review",2,3))*100000000+IF(ISNUMBER(AF259),AF259,99999)*1000+ROW(),999999999999)</f>
        <v>999999999999</v>
      </c>
      <c r="AL259">
        <f t="shared" si="23"/>
        <v>999999999999</v>
      </c>
      <c r="AM259">
        <f t="shared" si="27"/>
        <v>999999999999</v>
      </c>
      <c r="AN259">
        <f>IF(AND(ISNUMBER(AK259),'08 - READINESS'!V31="Yes"),AK259,999999999999)</f>
        <v>999999999999</v>
      </c>
      <c r="AO259">
        <f t="shared" si="25"/>
        <v>999999999999</v>
      </c>
      <c r="AP259">
        <f t="shared" si="22"/>
        <v>999999999999</v>
      </c>
      <c r="AQ259">
        <f t="shared" si="21"/>
        <v>999999999999</v>
      </c>
      <c r="AR259">
        <f t="shared" si="26"/>
        <v>0</v>
      </c>
    </row>
    <row r="260" spans="25:44">
      <c r="Y260" t="str">
        <f>IF('08 - READINESS'!A32&lt;&gt;"",IF('08 - READINESS'!F32="","",'08 - READINESS'!F32),"")</f>
        <v/>
      </c>
      <c r="Z260" t="str">
        <f>IF('08 - READINESS'!A32&lt;&gt;"","Readiness","")</f>
        <v/>
      </c>
      <c r="AA260" t="str">
        <f>IF('08 - READINESS'!A32&lt;&gt;"",IF('08 - READINESS'!A32="","",'08 - READINESS'!A32),"")</f>
        <v/>
      </c>
      <c r="AB260" t="str">
        <f>IF('08 - READINESS'!A32&lt;&gt;"",IF('08 - READINESS'!B32="","",'08 - READINESS'!B32),"")</f>
        <v/>
      </c>
      <c r="AC260" t="str">
        <f>IF('08 - READINESS'!A32&lt;&gt;"",IF('08 - READINESS'!G32="","",'08 - READINESS'!G32),"")</f>
        <v/>
      </c>
      <c r="AD260" t="str">
        <f>IF('08 - READINESS'!A32&lt;&gt;"",IF('08 - READINESS'!H32="","",'08 - READINESS'!H32),"")</f>
        <v/>
      </c>
      <c r="AE260" t="str">
        <f>IF('08 - READINESS'!A32&lt;&gt;"",IF('08 - READINESS'!D32="","",'08 - READINESS'!D32),"")</f>
        <v/>
      </c>
      <c r="AF260" s="17" t="str">
        <f>IF('08 - READINESS'!A32&lt;&gt;"",IF('08 - READINESS'!E32="","",'08 - READINESS'!E32),"")</f>
        <v/>
      </c>
      <c r="AG260" t="str">
        <f>IF('08 - READINESS'!A32&lt;&gt;"",IF('08 - READINESS'!I32="","",'08 - READINESS'!I32),"")</f>
        <v/>
      </c>
      <c r="AH260" t="str">
        <f>IF('08 - READINESS'!A32&lt;&gt;"",IF('08 - READINESS'!J32="","",'08 - READINESS'!J32),"")</f>
        <v/>
      </c>
      <c r="AI260" t="str">
        <f>IF('08 - READINESS'!A32&lt;&gt;"",IF('08 - READINESS'!C32="","",'08 - READINESS'!C32),"")</f>
        <v/>
      </c>
      <c r="AJ260" t="str">
        <f>IF('08 - READINESS'!A32&lt;&gt;"","08 - READINESS row 32","")</f>
        <v/>
      </c>
      <c r="AK260">
        <f>IF(AND('08 - READINESS'!A32&lt;&gt;"",OR('08 - READINESS'!C32&lt;&gt;"Pass",'08 - READINESS'!G32&lt;&gt;""),OR(AC260&lt;&gt;"",AD260&lt;&gt;"")),IF(Y260="Critical",1,IF(Y260="Review",2,3))*100000000+IF(ISNUMBER(AF260),AF260,99999)*1000+ROW(),999999999999)</f>
        <v>999999999999</v>
      </c>
      <c r="AL260">
        <f t="shared" si="23"/>
        <v>999999999999</v>
      </c>
      <c r="AM260">
        <f t="shared" si="27"/>
        <v>999999999999</v>
      </c>
      <c r="AN260">
        <f>IF(AND(ISNUMBER(AK260),'08 - READINESS'!V32="Yes"),AK260,999999999999)</f>
        <v>999999999999</v>
      </c>
      <c r="AO260">
        <f t="shared" si="25"/>
        <v>999999999999</v>
      </c>
      <c r="AP260">
        <f t="shared" si="22"/>
        <v>999999999999</v>
      </c>
      <c r="AQ260">
        <f t="shared" si="21"/>
        <v>999999999999</v>
      </c>
      <c r="AR260">
        <f t="shared" si="26"/>
        <v>0</v>
      </c>
    </row>
    <row r="261" spans="25:44">
      <c r="Y261" t="str">
        <f>IF('08 - READINESS'!A33&lt;&gt;"",IF('08 - READINESS'!F33="","",'08 - READINESS'!F33),"")</f>
        <v/>
      </c>
      <c r="Z261" t="str">
        <f>IF('08 - READINESS'!A33&lt;&gt;"","Readiness","")</f>
        <v/>
      </c>
      <c r="AA261" t="str">
        <f>IF('08 - READINESS'!A33&lt;&gt;"",IF('08 - READINESS'!A33="","",'08 - READINESS'!A33),"")</f>
        <v/>
      </c>
      <c r="AB261" t="str">
        <f>IF('08 - READINESS'!A33&lt;&gt;"",IF('08 - READINESS'!B33="","",'08 - READINESS'!B33),"")</f>
        <v/>
      </c>
      <c r="AC261" t="str">
        <f>IF('08 - READINESS'!A33&lt;&gt;"",IF('08 - READINESS'!G33="","",'08 - READINESS'!G33),"")</f>
        <v/>
      </c>
      <c r="AD261" t="str">
        <f>IF('08 - READINESS'!A33&lt;&gt;"",IF('08 - READINESS'!H33="","",'08 - READINESS'!H33),"")</f>
        <v/>
      </c>
      <c r="AE261" t="str">
        <f>IF('08 - READINESS'!A33&lt;&gt;"",IF('08 - READINESS'!D33="","",'08 - READINESS'!D33),"")</f>
        <v/>
      </c>
      <c r="AF261" s="17" t="str">
        <f>IF('08 - READINESS'!A33&lt;&gt;"",IF('08 - READINESS'!E33="","",'08 - READINESS'!E33),"")</f>
        <v/>
      </c>
      <c r="AG261" t="str">
        <f>IF('08 - READINESS'!A33&lt;&gt;"",IF('08 - READINESS'!I33="","",'08 - READINESS'!I33),"")</f>
        <v/>
      </c>
      <c r="AH261" t="str">
        <f>IF('08 - READINESS'!A33&lt;&gt;"",IF('08 - READINESS'!J33="","",'08 - READINESS'!J33),"")</f>
        <v/>
      </c>
      <c r="AI261" t="str">
        <f>IF('08 - READINESS'!A33&lt;&gt;"",IF('08 - READINESS'!C33="","",'08 - READINESS'!C33),"")</f>
        <v/>
      </c>
      <c r="AJ261" t="str">
        <f>IF('08 - READINESS'!A33&lt;&gt;"","08 - READINESS row 33","")</f>
        <v/>
      </c>
      <c r="AK261">
        <f>IF(AND('08 - READINESS'!A33&lt;&gt;"",OR('08 - READINESS'!C33&lt;&gt;"Pass",'08 - READINESS'!G33&lt;&gt;""),OR(AC261&lt;&gt;"",AD261&lt;&gt;"")),IF(Y261="Critical",1,IF(Y261="Review",2,3))*100000000+IF(ISNUMBER(AF261),AF261,99999)*1000+ROW(),999999999999)</f>
        <v>999999999999</v>
      </c>
      <c r="AL261">
        <f t="shared" si="23"/>
        <v>999999999999</v>
      </c>
      <c r="AM261">
        <f t="shared" si="27"/>
        <v>999999999999</v>
      </c>
      <c r="AN261">
        <f>IF(AND(ISNUMBER(AK261),'08 - READINESS'!V33="Yes"),AK261,999999999999)</f>
        <v>999999999999</v>
      </c>
      <c r="AO261">
        <f t="shared" si="25"/>
        <v>999999999999</v>
      </c>
      <c r="AP261">
        <f t="shared" si="22"/>
        <v>999999999999</v>
      </c>
      <c r="AQ261">
        <f t="shared" si="21"/>
        <v>999999999999</v>
      </c>
      <c r="AR261">
        <f t="shared" si="26"/>
        <v>0</v>
      </c>
    </row>
    <row r="262" spans="25:44">
      <c r="Y262" t="str">
        <f>IF('08 - READINESS'!A34&lt;&gt;"",IF('08 - READINESS'!F34="","",'08 - READINESS'!F34),"")</f>
        <v/>
      </c>
      <c r="Z262" t="str">
        <f>IF('08 - READINESS'!A34&lt;&gt;"","Readiness","")</f>
        <v/>
      </c>
      <c r="AA262" t="str">
        <f>IF('08 - READINESS'!A34&lt;&gt;"",IF('08 - READINESS'!A34="","",'08 - READINESS'!A34),"")</f>
        <v/>
      </c>
      <c r="AB262" t="str">
        <f>IF('08 - READINESS'!A34&lt;&gt;"",IF('08 - READINESS'!B34="","",'08 - READINESS'!B34),"")</f>
        <v/>
      </c>
      <c r="AC262" t="str">
        <f>IF('08 - READINESS'!A34&lt;&gt;"",IF('08 - READINESS'!G34="","",'08 - READINESS'!G34),"")</f>
        <v/>
      </c>
      <c r="AD262" t="str">
        <f>IF('08 - READINESS'!A34&lt;&gt;"",IF('08 - READINESS'!H34="","",'08 - READINESS'!H34),"")</f>
        <v/>
      </c>
      <c r="AE262" t="str">
        <f>IF('08 - READINESS'!A34&lt;&gt;"",IF('08 - READINESS'!D34="","",'08 - READINESS'!D34),"")</f>
        <v/>
      </c>
      <c r="AF262" s="17" t="str">
        <f>IF('08 - READINESS'!A34&lt;&gt;"",IF('08 - READINESS'!E34="","",'08 - READINESS'!E34),"")</f>
        <v/>
      </c>
      <c r="AG262" t="str">
        <f>IF('08 - READINESS'!A34&lt;&gt;"",IF('08 - READINESS'!I34="","",'08 - READINESS'!I34),"")</f>
        <v/>
      </c>
      <c r="AH262" t="str">
        <f>IF('08 - READINESS'!A34&lt;&gt;"",IF('08 - READINESS'!J34="","",'08 - READINESS'!J34),"")</f>
        <v/>
      </c>
      <c r="AI262" t="str">
        <f>IF('08 - READINESS'!A34&lt;&gt;"",IF('08 - READINESS'!C34="","",'08 - READINESS'!C34),"")</f>
        <v/>
      </c>
      <c r="AJ262" t="str">
        <f>IF('08 - READINESS'!A34&lt;&gt;"","08 - READINESS row 34","")</f>
        <v/>
      </c>
      <c r="AK262">
        <f>IF(AND('08 - READINESS'!A34&lt;&gt;"",OR('08 - READINESS'!C34&lt;&gt;"Pass",'08 - READINESS'!G34&lt;&gt;""),OR(AC262&lt;&gt;"",AD262&lt;&gt;"")),IF(Y262="Critical",1,IF(Y262="Review",2,3))*100000000+IF(ISNUMBER(AF262),AF262,99999)*1000+ROW(),999999999999)</f>
        <v>999999999999</v>
      </c>
      <c r="AL262">
        <f t="shared" si="23"/>
        <v>999999999999</v>
      </c>
      <c r="AM262">
        <f t="shared" si="27"/>
        <v>999999999999</v>
      </c>
      <c r="AN262">
        <f>IF(AND(ISNUMBER(AK262),'08 - READINESS'!V34="Yes"),AK262,999999999999)</f>
        <v>999999999999</v>
      </c>
      <c r="AO262">
        <f t="shared" si="25"/>
        <v>999999999999</v>
      </c>
      <c r="AP262">
        <f t="shared" si="22"/>
        <v>999999999999</v>
      </c>
      <c r="AQ262">
        <f t="shared" si="21"/>
        <v>999999999999</v>
      </c>
      <c r="AR262">
        <f t="shared" si="26"/>
        <v>0</v>
      </c>
    </row>
    <row r="263" spans="25:44">
      <c r="Y263" t="str">
        <f>IF('08 - READINESS'!A35&lt;&gt;"",IF('08 - READINESS'!F35="","",'08 - READINESS'!F35),"")</f>
        <v/>
      </c>
      <c r="Z263" t="str">
        <f>IF('08 - READINESS'!A35&lt;&gt;"","Readiness","")</f>
        <v/>
      </c>
      <c r="AA263" t="str">
        <f>IF('08 - READINESS'!A35&lt;&gt;"",IF('08 - READINESS'!A35="","",'08 - READINESS'!A35),"")</f>
        <v/>
      </c>
      <c r="AB263" t="str">
        <f>IF('08 - READINESS'!A35&lt;&gt;"",IF('08 - READINESS'!B35="","",'08 - READINESS'!B35),"")</f>
        <v/>
      </c>
      <c r="AC263" t="str">
        <f>IF('08 - READINESS'!A35&lt;&gt;"",IF('08 - READINESS'!G35="","",'08 - READINESS'!G35),"")</f>
        <v/>
      </c>
      <c r="AD263" t="str">
        <f>IF('08 - READINESS'!A35&lt;&gt;"",IF('08 - READINESS'!H35="","",'08 - READINESS'!H35),"")</f>
        <v/>
      </c>
      <c r="AE263" t="str">
        <f>IF('08 - READINESS'!A35&lt;&gt;"",IF('08 - READINESS'!D35="","",'08 - READINESS'!D35),"")</f>
        <v/>
      </c>
      <c r="AF263" s="17" t="str">
        <f>IF('08 - READINESS'!A35&lt;&gt;"",IF('08 - READINESS'!E35="","",'08 - READINESS'!E35),"")</f>
        <v/>
      </c>
      <c r="AG263" t="str">
        <f>IF('08 - READINESS'!A35&lt;&gt;"",IF('08 - READINESS'!I35="","",'08 - READINESS'!I35),"")</f>
        <v/>
      </c>
      <c r="AH263" t="str">
        <f>IF('08 - READINESS'!A35&lt;&gt;"",IF('08 - READINESS'!J35="","",'08 - READINESS'!J35),"")</f>
        <v/>
      </c>
      <c r="AI263" t="str">
        <f>IF('08 - READINESS'!A35&lt;&gt;"",IF('08 - READINESS'!C35="","",'08 - READINESS'!C35),"")</f>
        <v/>
      </c>
      <c r="AJ263" t="str">
        <f>IF('08 - READINESS'!A35&lt;&gt;"","08 - READINESS row 35","")</f>
        <v/>
      </c>
      <c r="AK263">
        <f>IF(AND('08 - READINESS'!A35&lt;&gt;"",OR('08 - READINESS'!C35&lt;&gt;"Pass",'08 - READINESS'!G35&lt;&gt;""),OR(AC263&lt;&gt;"",AD263&lt;&gt;"")),IF(Y263="Critical",1,IF(Y263="Review",2,3))*100000000+IF(ISNUMBER(AF263),AF263,99999)*1000+ROW(),999999999999)</f>
        <v>999999999999</v>
      </c>
      <c r="AL263">
        <f t="shared" si="23"/>
        <v>999999999999</v>
      </c>
      <c r="AM263">
        <f t="shared" si="27"/>
        <v>999999999999</v>
      </c>
      <c r="AN263">
        <f>IF(AND(ISNUMBER(AK263),'08 - READINESS'!V35="Yes"),AK263,999999999999)</f>
        <v>999999999999</v>
      </c>
      <c r="AO263">
        <f t="shared" si="25"/>
        <v>999999999999</v>
      </c>
      <c r="AP263">
        <f t="shared" si="22"/>
        <v>999999999999</v>
      </c>
      <c r="AQ263">
        <f t="shared" si="21"/>
        <v>999999999999</v>
      </c>
      <c r="AR263">
        <f t="shared" si="26"/>
        <v>0</v>
      </c>
    </row>
    <row r="264" spans="25:44">
      <c r="Y264" t="str">
        <f>IF('08 - READINESS'!A36&lt;&gt;"",IF('08 - READINESS'!F36="","",'08 - READINESS'!F36),"")</f>
        <v/>
      </c>
      <c r="Z264" t="str">
        <f>IF('08 - READINESS'!A36&lt;&gt;"","Readiness","")</f>
        <v/>
      </c>
      <c r="AA264" t="str">
        <f>IF('08 - READINESS'!A36&lt;&gt;"",IF('08 - READINESS'!A36="","",'08 - READINESS'!A36),"")</f>
        <v/>
      </c>
      <c r="AB264" t="str">
        <f>IF('08 - READINESS'!A36&lt;&gt;"",IF('08 - READINESS'!B36="","",'08 - READINESS'!B36),"")</f>
        <v/>
      </c>
      <c r="AC264" t="str">
        <f>IF('08 - READINESS'!A36&lt;&gt;"",IF('08 - READINESS'!G36="","",'08 - READINESS'!G36),"")</f>
        <v/>
      </c>
      <c r="AD264" t="str">
        <f>IF('08 - READINESS'!A36&lt;&gt;"",IF('08 - READINESS'!H36="","",'08 - READINESS'!H36),"")</f>
        <v/>
      </c>
      <c r="AE264" t="str">
        <f>IF('08 - READINESS'!A36&lt;&gt;"",IF('08 - READINESS'!D36="","",'08 - READINESS'!D36),"")</f>
        <v/>
      </c>
      <c r="AF264" s="17" t="str">
        <f>IF('08 - READINESS'!A36&lt;&gt;"",IF('08 - READINESS'!E36="","",'08 - READINESS'!E36),"")</f>
        <v/>
      </c>
      <c r="AG264" t="str">
        <f>IF('08 - READINESS'!A36&lt;&gt;"",IF('08 - READINESS'!I36="","",'08 - READINESS'!I36),"")</f>
        <v/>
      </c>
      <c r="AH264" t="str">
        <f>IF('08 - READINESS'!A36&lt;&gt;"",IF('08 - READINESS'!J36="","",'08 - READINESS'!J36),"")</f>
        <v/>
      </c>
      <c r="AI264" t="str">
        <f>IF('08 - READINESS'!A36&lt;&gt;"",IF('08 - READINESS'!C36="","",'08 - READINESS'!C36),"")</f>
        <v/>
      </c>
      <c r="AJ264" t="str">
        <f>IF('08 - READINESS'!A36&lt;&gt;"","08 - READINESS row 36","")</f>
        <v/>
      </c>
      <c r="AK264">
        <f>IF(AND('08 - READINESS'!A36&lt;&gt;"",OR('08 - READINESS'!C36&lt;&gt;"Pass",'08 - READINESS'!G36&lt;&gt;""),OR(AC264&lt;&gt;"",AD264&lt;&gt;"")),IF(Y264="Critical",1,IF(Y264="Review",2,3))*100000000+IF(ISNUMBER(AF264),AF264,99999)*1000+ROW(),999999999999)</f>
        <v>999999999999</v>
      </c>
      <c r="AL264">
        <f t="shared" si="23"/>
        <v>999999999999</v>
      </c>
      <c r="AM264">
        <f t="shared" si="27"/>
        <v>999999999999</v>
      </c>
      <c r="AN264">
        <f>IF(AND(ISNUMBER(AK264),'08 - READINESS'!V36="Yes"),AK264,999999999999)</f>
        <v>999999999999</v>
      </c>
      <c r="AO264">
        <f t="shared" si="25"/>
        <v>999999999999</v>
      </c>
      <c r="AP264">
        <f t="shared" si="22"/>
        <v>999999999999</v>
      </c>
      <c r="AQ264">
        <f t="shared" si="21"/>
        <v>999999999999</v>
      </c>
      <c r="AR264">
        <f t="shared" si="26"/>
        <v>0</v>
      </c>
    </row>
    <row r="265" spans="25:44">
      <c r="Y265" t="str">
        <f>IF('08 - READINESS'!A37&lt;&gt;"",IF('08 - READINESS'!F37="","",'08 - READINESS'!F37),"")</f>
        <v/>
      </c>
      <c r="Z265" t="str">
        <f>IF('08 - READINESS'!A37&lt;&gt;"","Readiness","")</f>
        <v/>
      </c>
      <c r="AA265" t="str">
        <f>IF('08 - READINESS'!A37&lt;&gt;"",IF('08 - READINESS'!A37="","",'08 - READINESS'!A37),"")</f>
        <v/>
      </c>
      <c r="AB265" t="str">
        <f>IF('08 - READINESS'!A37&lt;&gt;"",IF('08 - READINESS'!B37="","",'08 - READINESS'!B37),"")</f>
        <v/>
      </c>
      <c r="AC265" t="str">
        <f>IF('08 - READINESS'!A37&lt;&gt;"",IF('08 - READINESS'!G37="","",'08 - READINESS'!G37),"")</f>
        <v/>
      </c>
      <c r="AD265" t="str">
        <f>IF('08 - READINESS'!A37&lt;&gt;"",IF('08 - READINESS'!H37="","",'08 - READINESS'!H37),"")</f>
        <v/>
      </c>
      <c r="AE265" t="str">
        <f>IF('08 - READINESS'!A37&lt;&gt;"",IF('08 - READINESS'!D37="","",'08 - READINESS'!D37),"")</f>
        <v/>
      </c>
      <c r="AF265" s="17" t="str">
        <f>IF('08 - READINESS'!A37&lt;&gt;"",IF('08 - READINESS'!E37="","",'08 - READINESS'!E37),"")</f>
        <v/>
      </c>
      <c r="AG265" t="str">
        <f>IF('08 - READINESS'!A37&lt;&gt;"",IF('08 - READINESS'!I37="","",'08 - READINESS'!I37),"")</f>
        <v/>
      </c>
      <c r="AH265" t="str">
        <f>IF('08 - READINESS'!A37&lt;&gt;"",IF('08 - READINESS'!J37="","",'08 - READINESS'!J37),"")</f>
        <v/>
      </c>
      <c r="AI265" t="str">
        <f>IF('08 - READINESS'!A37&lt;&gt;"",IF('08 - READINESS'!C37="","",'08 - READINESS'!C37),"")</f>
        <v/>
      </c>
      <c r="AJ265" t="str">
        <f>IF('08 - READINESS'!A37&lt;&gt;"","08 - READINESS row 37","")</f>
        <v/>
      </c>
      <c r="AK265">
        <f>IF(AND('08 - READINESS'!A37&lt;&gt;"",OR('08 - READINESS'!C37&lt;&gt;"Pass",'08 - READINESS'!G37&lt;&gt;""),OR(AC265&lt;&gt;"",AD265&lt;&gt;"")),IF(Y265="Critical",1,IF(Y265="Review",2,3))*100000000+IF(ISNUMBER(AF265),AF265,99999)*1000+ROW(),999999999999)</f>
        <v>999999999999</v>
      </c>
      <c r="AL265">
        <f t="shared" si="23"/>
        <v>999999999999</v>
      </c>
      <c r="AM265">
        <f t="shared" si="27"/>
        <v>999999999999</v>
      </c>
      <c r="AN265">
        <f>IF(AND(ISNUMBER(AK265),'08 - READINESS'!V37="Yes"),AK265,999999999999)</f>
        <v>999999999999</v>
      </c>
      <c r="AO265">
        <f t="shared" si="25"/>
        <v>999999999999</v>
      </c>
      <c r="AP265">
        <f t="shared" si="22"/>
        <v>999999999999</v>
      </c>
      <c r="AQ265">
        <f t="shared" ref="AQ265:AQ328" si="28">IF(AND(ISNUMBER(AK265),Z265="Dependencies",FALSE),AK265,999999999999)</f>
        <v>999999999999</v>
      </c>
      <c r="AR265">
        <f t="shared" si="26"/>
        <v>0</v>
      </c>
    </row>
    <row r="266" spans="25:44">
      <c r="Y266" t="str">
        <f>IF('08 - READINESS'!A38&lt;&gt;"",IF('08 - READINESS'!F38="","",'08 - READINESS'!F38),"")</f>
        <v/>
      </c>
      <c r="Z266" t="str">
        <f>IF('08 - READINESS'!A38&lt;&gt;"","Readiness","")</f>
        <v/>
      </c>
      <c r="AA266" t="str">
        <f>IF('08 - READINESS'!A38&lt;&gt;"",IF('08 - READINESS'!A38="","",'08 - READINESS'!A38),"")</f>
        <v/>
      </c>
      <c r="AB266" t="str">
        <f>IF('08 - READINESS'!A38&lt;&gt;"",IF('08 - READINESS'!B38="","",'08 - READINESS'!B38),"")</f>
        <v/>
      </c>
      <c r="AC266" t="str">
        <f>IF('08 - READINESS'!A38&lt;&gt;"",IF('08 - READINESS'!G38="","",'08 - READINESS'!G38),"")</f>
        <v/>
      </c>
      <c r="AD266" t="str">
        <f>IF('08 - READINESS'!A38&lt;&gt;"",IF('08 - READINESS'!H38="","",'08 - READINESS'!H38),"")</f>
        <v/>
      </c>
      <c r="AE266" t="str">
        <f>IF('08 - READINESS'!A38&lt;&gt;"",IF('08 - READINESS'!D38="","",'08 - READINESS'!D38),"")</f>
        <v/>
      </c>
      <c r="AF266" s="17" t="str">
        <f>IF('08 - READINESS'!A38&lt;&gt;"",IF('08 - READINESS'!E38="","",'08 - READINESS'!E38),"")</f>
        <v/>
      </c>
      <c r="AG266" t="str">
        <f>IF('08 - READINESS'!A38&lt;&gt;"",IF('08 - READINESS'!I38="","",'08 - READINESS'!I38),"")</f>
        <v/>
      </c>
      <c r="AH266" t="str">
        <f>IF('08 - READINESS'!A38&lt;&gt;"",IF('08 - READINESS'!J38="","",'08 - READINESS'!J38),"")</f>
        <v/>
      </c>
      <c r="AI266" t="str">
        <f>IF('08 - READINESS'!A38&lt;&gt;"",IF('08 - READINESS'!C38="","",'08 - READINESS'!C38),"")</f>
        <v/>
      </c>
      <c r="AJ266" t="str">
        <f>IF('08 - READINESS'!A38&lt;&gt;"","08 - READINESS row 38","")</f>
        <v/>
      </c>
      <c r="AK266">
        <f>IF(AND('08 - READINESS'!A38&lt;&gt;"",OR('08 - READINESS'!C38&lt;&gt;"Pass",'08 - READINESS'!G38&lt;&gt;""),OR(AC266&lt;&gt;"",AD266&lt;&gt;"")),IF(Y266="Critical",1,IF(Y266="Review",2,3))*100000000+IF(ISNUMBER(AF266),AF266,99999)*1000+ROW(),999999999999)</f>
        <v>999999999999</v>
      </c>
      <c r="AL266">
        <f t="shared" si="23"/>
        <v>999999999999</v>
      </c>
      <c r="AM266">
        <f t="shared" si="27"/>
        <v>999999999999</v>
      </c>
      <c r="AN266">
        <f>IF(AND(ISNUMBER(AK266),'08 - READINESS'!V38="Yes"),AK266,999999999999)</f>
        <v>999999999999</v>
      </c>
      <c r="AO266">
        <f t="shared" si="25"/>
        <v>999999999999</v>
      </c>
      <c r="AP266">
        <f t="shared" si="22"/>
        <v>999999999999</v>
      </c>
      <c r="AQ266">
        <f t="shared" si="28"/>
        <v>999999999999</v>
      </c>
      <c r="AR266">
        <f t="shared" si="26"/>
        <v>0</v>
      </c>
    </row>
    <row r="267" spans="25:44">
      <c r="Y267" t="str">
        <f>IF('08 - READINESS'!A39&lt;&gt;"",IF('08 - READINESS'!F39="","",'08 - READINESS'!F39),"")</f>
        <v/>
      </c>
      <c r="Z267" t="str">
        <f>IF('08 - READINESS'!A39&lt;&gt;"","Readiness","")</f>
        <v/>
      </c>
      <c r="AA267" t="str">
        <f>IF('08 - READINESS'!A39&lt;&gt;"",IF('08 - READINESS'!A39="","",'08 - READINESS'!A39),"")</f>
        <v/>
      </c>
      <c r="AB267" t="str">
        <f>IF('08 - READINESS'!A39&lt;&gt;"",IF('08 - READINESS'!B39="","",'08 - READINESS'!B39),"")</f>
        <v/>
      </c>
      <c r="AC267" t="str">
        <f>IF('08 - READINESS'!A39&lt;&gt;"",IF('08 - READINESS'!G39="","",'08 - READINESS'!G39),"")</f>
        <v/>
      </c>
      <c r="AD267" t="str">
        <f>IF('08 - READINESS'!A39&lt;&gt;"",IF('08 - READINESS'!H39="","",'08 - READINESS'!H39),"")</f>
        <v/>
      </c>
      <c r="AE267" t="str">
        <f>IF('08 - READINESS'!A39&lt;&gt;"",IF('08 - READINESS'!D39="","",'08 - READINESS'!D39),"")</f>
        <v/>
      </c>
      <c r="AF267" s="17" t="str">
        <f>IF('08 - READINESS'!A39&lt;&gt;"",IF('08 - READINESS'!E39="","",'08 - READINESS'!E39),"")</f>
        <v/>
      </c>
      <c r="AG267" t="str">
        <f>IF('08 - READINESS'!A39&lt;&gt;"",IF('08 - READINESS'!I39="","",'08 - READINESS'!I39),"")</f>
        <v/>
      </c>
      <c r="AH267" t="str">
        <f>IF('08 - READINESS'!A39&lt;&gt;"",IF('08 - READINESS'!J39="","",'08 - READINESS'!J39),"")</f>
        <v/>
      </c>
      <c r="AI267" t="str">
        <f>IF('08 - READINESS'!A39&lt;&gt;"",IF('08 - READINESS'!C39="","",'08 - READINESS'!C39),"")</f>
        <v/>
      </c>
      <c r="AJ267" t="str">
        <f>IF('08 - READINESS'!A39&lt;&gt;"","08 - READINESS row 39","")</f>
        <v/>
      </c>
      <c r="AK267">
        <f>IF(AND('08 - READINESS'!A39&lt;&gt;"",OR('08 - READINESS'!C39&lt;&gt;"Pass",'08 - READINESS'!G39&lt;&gt;""),OR(AC267&lt;&gt;"",AD267&lt;&gt;"")),IF(Y267="Critical",1,IF(Y267="Review",2,3))*100000000+IF(ISNUMBER(AF267),AF267,99999)*1000+ROW(),999999999999)</f>
        <v>999999999999</v>
      </c>
      <c r="AL267">
        <f t="shared" si="23"/>
        <v>999999999999</v>
      </c>
      <c r="AM267">
        <f t="shared" si="27"/>
        <v>999999999999</v>
      </c>
      <c r="AN267">
        <f>IF(AND(ISNUMBER(AK267),'08 - READINESS'!V39="Yes"),AK267,999999999999)</f>
        <v>999999999999</v>
      </c>
      <c r="AO267">
        <f t="shared" si="25"/>
        <v>999999999999</v>
      </c>
      <c r="AP267">
        <f t="shared" si="22"/>
        <v>999999999999</v>
      </c>
      <c r="AQ267">
        <f t="shared" si="28"/>
        <v>999999999999</v>
      </c>
      <c r="AR267">
        <f t="shared" si="26"/>
        <v>0</v>
      </c>
    </row>
    <row r="268" spans="25:44">
      <c r="Y268" t="str">
        <f>IF('08 - READINESS'!A40&lt;&gt;"",IF('08 - READINESS'!F40="","",'08 - READINESS'!F40),"")</f>
        <v/>
      </c>
      <c r="Z268" t="str">
        <f>IF('08 - READINESS'!A40&lt;&gt;"","Readiness","")</f>
        <v/>
      </c>
      <c r="AA268" t="str">
        <f>IF('08 - READINESS'!A40&lt;&gt;"",IF('08 - READINESS'!A40="","",'08 - READINESS'!A40),"")</f>
        <v/>
      </c>
      <c r="AB268" t="str">
        <f>IF('08 - READINESS'!A40&lt;&gt;"",IF('08 - READINESS'!B40="","",'08 - READINESS'!B40),"")</f>
        <v/>
      </c>
      <c r="AC268" t="str">
        <f>IF('08 - READINESS'!A40&lt;&gt;"",IF('08 - READINESS'!G40="","",'08 - READINESS'!G40),"")</f>
        <v/>
      </c>
      <c r="AD268" t="str">
        <f>IF('08 - READINESS'!A40&lt;&gt;"",IF('08 - READINESS'!H40="","",'08 - READINESS'!H40),"")</f>
        <v/>
      </c>
      <c r="AE268" t="str">
        <f>IF('08 - READINESS'!A40&lt;&gt;"",IF('08 - READINESS'!D40="","",'08 - READINESS'!D40),"")</f>
        <v/>
      </c>
      <c r="AF268" s="17" t="str">
        <f>IF('08 - READINESS'!A40&lt;&gt;"",IF('08 - READINESS'!E40="","",'08 - READINESS'!E40),"")</f>
        <v/>
      </c>
      <c r="AG268" t="str">
        <f>IF('08 - READINESS'!A40&lt;&gt;"",IF('08 - READINESS'!I40="","",'08 - READINESS'!I40),"")</f>
        <v/>
      </c>
      <c r="AH268" t="str">
        <f>IF('08 - READINESS'!A40&lt;&gt;"",IF('08 - READINESS'!J40="","",'08 - READINESS'!J40),"")</f>
        <v/>
      </c>
      <c r="AI268" t="str">
        <f>IF('08 - READINESS'!A40&lt;&gt;"",IF('08 - READINESS'!C40="","",'08 - READINESS'!C40),"")</f>
        <v/>
      </c>
      <c r="AJ268" t="str">
        <f>IF('08 - READINESS'!A40&lt;&gt;"","08 - READINESS row 40","")</f>
        <v/>
      </c>
      <c r="AK268">
        <f>IF(AND('08 - READINESS'!A40&lt;&gt;"",OR('08 - READINESS'!C40&lt;&gt;"Pass",'08 - READINESS'!G40&lt;&gt;""),OR(AC268&lt;&gt;"",AD268&lt;&gt;"")),IF(Y268="Critical",1,IF(Y268="Review",2,3))*100000000+IF(ISNUMBER(AF268),AF268,99999)*1000+ROW(),999999999999)</f>
        <v>999999999999</v>
      </c>
      <c r="AL268">
        <f t="shared" si="23"/>
        <v>999999999999</v>
      </c>
      <c r="AM268">
        <f t="shared" si="27"/>
        <v>999999999999</v>
      </c>
      <c r="AN268">
        <f>IF(AND(ISNUMBER(AK268),'08 - READINESS'!V40="Yes"),AK268,999999999999)</f>
        <v>999999999999</v>
      </c>
      <c r="AO268">
        <f t="shared" si="25"/>
        <v>999999999999</v>
      </c>
      <c r="AP268">
        <f t="shared" si="22"/>
        <v>999999999999</v>
      </c>
      <c r="AQ268">
        <f t="shared" si="28"/>
        <v>999999999999</v>
      </c>
      <c r="AR268">
        <f t="shared" si="26"/>
        <v>0</v>
      </c>
    </row>
    <row r="269" spans="25:44">
      <c r="Y269" t="str">
        <f>IF('08 - READINESS'!A41&lt;&gt;"",IF('08 - READINESS'!F41="","",'08 - READINESS'!F41),"")</f>
        <v/>
      </c>
      <c r="Z269" t="str">
        <f>IF('08 - READINESS'!A41&lt;&gt;"","Readiness","")</f>
        <v/>
      </c>
      <c r="AA269" t="str">
        <f>IF('08 - READINESS'!A41&lt;&gt;"",IF('08 - READINESS'!A41="","",'08 - READINESS'!A41),"")</f>
        <v/>
      </c>
      <c r="AB269" t="str">
        <f>IF('08 - READINESS'!A41&lt;&gt;"",IF('08 - READINESS'!B41="","",'08 - READINESS'!B41),"")</f>
        <v/>
      </c>
      <c r="AC269" t="str">
        <f>IF('08 - READINESS'!A41&lt;&gt;"",IF('08 - READINESS'!G41="","",'08 - READINESS'!G41),"")</f>
        <v/>
      </c>
      <c r="AD269" t="str">
        <f>IF('08 - READINESS'!A41&lt;&gt;"",IF('08 - READINESS'!H41="","",'08 - READINESS'!H41),"")</f>
        <v/>
      </c>
      <c r="AE269" t="str">
        <f>IF('08 - READINESS'!A41&lt;&gt;"",IF('08 - READINESS'!D41="","",'08 - READINESS'!D41),"")</f>
        <v/>
      </c>
      <c r="AF269" s="17" t="str">
        <f>IF('08 - READINESS'!A41&lt;&gt;"",IF('08 - READINESS'!E41="","",'08 - READINESS'!E41),"")</f>
        <v/>
      </c>
      <c r="AG269" t="str">
        <f>IF('08 - READINESS'!A41&lt;&gt;"",IF('08 - READINESS'!I41="","",'08 - READINESS'!I41),"")</f>
        <v/>
      </c>
      <c r="AH269" t="str">
        <f>IF('08 - READINESS'!A41&lt;&gt;"",IF('08 - READINESS'!J41="","",'08 - READINESS'!J41),"")</f>
        <v/>
      </c>
      <c r="AI269" t="str">
        <f>IF('08 - READINESS'!A41&lt;&gt;"",IF('08 - READINESS'!C41="","",'08 - READINESS'!C41),"")</f>
        <v/>
      </c>
      <c r="AJ269" t="str">
        <f>IF('08 - READINESS'!A41&lt;&gt;"","08 - READINESS row 41","")</f>
        <v/>
      </c>
      <c r="AK269">
        <f>IF(AND('08 - READINESS'!A41&lt;&gt;"",OR('08 - READINESS'!C41&lt;&gt;"Pass",'08 - READINESS'!G41&lt;&gt;""),OR(AC269&lt;&gt;"",AD269&lt;&gt;"")),IF(Y269="Critical",1,IF(Y269="Review",2,3))*100000000+IF(ISNUMBER(AF269),AF269,99999)*1000+ROW(),999999999999)</f>
        <v>999999999999</v>
      </c>
      <c r="AL269">
        <f t="shared" si="23"/>
        <v>999999999999</v>
      </c>
      <c r="AM269">
        <f t="shared" si="27"/>
        <v>999999999999</v>
      </c>
      <c r="AN269">
        <f>IF(AND(ISNUMBER(AK269),'08 - READINESS'!V41="Yes"),AK269,999999999999)</f>
        <v>999999999999</v>
      </c>
      <c r="AO269">
        <f t="shared" si="25"/>
        <v>999999999999</v>
      </c>
      <c r="AP269">
        <f t="shared" si="22"/>
        <v>999999999999</v>
      </c>
      <c r="AQ269">
        <f t="shared" si="28"/>
        <v>999999999999</v>
      </c>
      <c r="AR269">
        <f t="shared" si="26"/>
        <v>0</v>
      </c>
    </row>
    <row r="270" spans="25:44">
      <c r="Y270" t="str">
        <f>IF('08 - READINESS'!A42&lt;&gt;"",IF('08 - READINESS'!F42="","",'08 - READINESS'!F42),"")</f>
        <v/>
      </c>
      <c r="Z270" t="str">
        <f>IF('08 - READINESS'!A42&lt;&gt;"","Readiness","")</f>
        <v/>
      </c>
      <c r="AA270" t="str">
        <f>IF('08 - READINESS'!A42&lt;&gt;"",IF('08 - READINESS'!A42="","",'08 - READINESS'!A42),"")</f>
        <v/>
      </c>
      <c r="AB270" t="str">
        <f>IF('08 - READINESS'!A42&lt;&gt;"",IF('08 - READINESS'!B42="","",'08 - READINESS'!B42),"")</f>
        <v/>
      </c>
      <c r="AC270" t="str">
        <f>IF('08 - READINESS'!A42&lt;&gt;"",IF('08 - READINESS'!G42="","",'08 - READINESS'!G42),"")</f>
        <v/>
      </c>
      <c r="AD270" t="str">
        <f>IF('08 - READINESS'!A42&lt;&gt;"",IF('08 - READINESS'!H42="","",'08 - READINESS'!H42),"")</f>
        <v/>
      </c>
      <c r="AE270" t="str">
        <f>IF('08 - READINESS'!A42&lt;&gt;"",IF('08 - READINESS'!D42="","",'08 - READINESS'!D42),"")</f>
        <v/>
      </c>
      <c r="AF270" s="17" t="str">
        <f>IF('08 - READINESS'!A42&lt;&gt;"",IF('08 - READINESS'!E42="","",'08 - READINESS'!E42),"")</f>
        <v/>
      </c>
      <c r="AG270" t="str">
        <f>IF('08 - READINESS'!A42&lt;&gt;"",IF('08 - READINESS'!I42="","",'08 - READINESS'!I42),"")</f>
        <v/>
      </c>
      <c r="AH270" t="str">
        <f>IF('08 - READINESS'!A42&lt;&gt;"",IF('08 - READINESS'!J42="","",'08 - READINESS'!J42),"")</f>
        <v/>
      </c>
      <c r="AI270" t="str">
        <f>IF('08 - READINESS'!A42&lt;&gt;"",IF('08 - READINESS'!C42="","",'08 - READINESS'!C42),"")</f>
        <v/>
      </c>
      <c r="AJ270" t="str">
        <f>IF('08 - READINESS'!A42&lt;&gt;"","08 - READINESS row 42","")</f>
        <v/>
      </c>
      <c r="AK270">
        <f>IF(AND('08 - READINESS'!A42&lt;&gt;"",OR('08 - READINESS'!C42&lt;&gt;"Pass",'08 - READINESS'!G42&lt;&gt;""),OR(AC270&lt;&gt;"",AD270&lt;&gt;"")),IF(Y270="Critical",1,IF(Y270="Review",2,3))*100000000+IF(ISNUMBER(AF270),AF270,99999)*1000+ROW(),999999999999)</f>
        <v>999999999999</v>
      </c>
      <c r="AL270">
        <f t="shared" si="23"/>
        <v>999999999999</v>
      </c>
      <c r="AM270">
        <f t="shared" si="27"/>
        <v>999999999999</v>
      </c>
      <c r="AN270">
        <f>IF(AND(ISNUMBER(AK270),'08 - READINESS'!V42="Yes"),AK270,999999999999)</f>
        <v>999999999999</v>
      </c>
      <c r="AO270">
        <f t="shared" si="25"/>
        <v>999999999999</v>
      </c>
      <c r="AP270">
        <f t="shared" si="22"/>
        <v>999999999999</v>
      </c>
      <c r="AQ270">
        <f t="shared" si="28"/>
        <v>999999999999</v>
      </c>
      <c r="AR270">
        <f t="shared" si="26"/>
        <v>0</v>
      </c>
    </row>
    <row r="271" spans="25:44">
      <c r="Y271" t="str">
        <f>IF('08 - READINESS'!A43&lt;&gt;"",IF('08 - READINESS'!F43="","",'08 - READINESS'!F43),"")</f>
        <v/>
      </c>
      <c r="Z271" t="str">
        <f>IF('08 - READINESS'!A43&lt;&gt;"","Readiness","")</f>
        <v/>
      </c>
      <c r="AA271" t="str">
        <f>IF('08 - READINESS'!A43&lt;&gt;"",IF('08 - READINESS'!A43="","",'08 - READINESS'!A43),"")</f>
        <v/>
      </c>
      <c r="AB271" t="str">
        <f>IF('08 - READINESS'!A43&lt;&gt;"",IF('08 - READINESS'!B43="","",'08 - READINESS'!B43),"")</f>
        <v/>
      </c>
      <c r="AC271" t="str">
        <f>IF('08 - READINESS'!A43&lt;&gt;"",IF('08 - READINESS'!G43="","",'08 - READINESS'!G43),"")</f>
        <v/>
      </c>
      <c r="AD271" t="str">
        <f>IF('08 - READINESS'!A43&lt;&gt;"",IF('08 - READINESS'!H43="","",'08 - READINESS'!H43),"")</f>
        <v/>
      </c>
      <c r="AE271" t="str">
        <f>IF('08 - READINESS'!A43&lt;&gt;"",IF('08 - READINESS'!D43="","",'08 - READINESS'!D43),"")</f>
        <v/>
      </c>
      <c r="AF271" s="17" t="str">
        <f>IF('08 - READINESS'!A43&lt;&gt;"",IF('08 - READINESS'!E43="","",'08 - READINESS'!E43),"")</f>
        <v/>
      </c>
      <c r="AG271" t="str">
        <f>IF('08 - READINESS'!A43&lt;&gt;"",IF('08 - READINESS'!I43="","",'08 - READINESS'!I43),"")</f>
        <v/>
      </c>
      <c r="AH271" t="str">
        <f>IF('08 - READINESS'!A43&lt;&gt;"",IF('08 - READINESS'!J43="","",'08 - READINESS'!J43),"")</f>
        <v/>
      </c>
      <c r="AI271" t="str">
        <f>IF('08 - READINESS'!A43&lt;&gt;"",IF('08 - READINESS'!C43="","",'08 - READINESS'!C43),"")</f>
        <v/>
      </c>
      <c r="AJ271" t="str">
        <f>IF('08 - READINESS'!A43&lt;&gt;"","08 - READINESS row 43","")</f>
        <v/>
      </c>
      <c r="AK271">
        <f>IF(AND('08 - READINESS'!A43&lt;&gt;"",OR('08 - READINESS'!C43&lt;&gt;"Pass",'08 - READINESS'!G43&lt;&gt;""),OR(AC271&lt;&gt;"",AD271&lt;&gt;"")),IF(Y271="Critical",1,IF(Y271="Review",2,3))*100000000+IF(ISNUMBER(AF271),AF271,99999)*1000+ROW(),999999999999)</f>
        <v>999999999999</v>
      </c>
      <c r="AL271">
        <f t="shared" si="23"/>
        <v>999999999999</v>
      </c>
      <c r="AM271">
        <f t="shared" si="27"/>
        <v>999999999999</v>
      </c>
      <c r="AN271">
        <f>IF(AND(ISNUMBER(AK271),'08 - READINESS'!V43="Yes"),AK271,999999999999)</f>
        <v>999999999999</v>
      </c>
      <c r="AO271">
        <f t="shared" si="25"/>
        <v>999999999999</v>
      </c>
      <c r="AP271">
        <f t="shared" si="22"/>
        <v>999999999999</v>
      </c>
      <c r="AQ271">
        <f t="shared" si="28"/>
        <v>999999999999</v>
      </c>
      <c r="AR271">
        <f t="shared" si="26"/>
        <v>0</v>
      </c>
    </row>
    <row r="272" spans="25:44">
      <c r="Y272" t="str">
        <f>IF('08 - READINESS'!A44&lt;&gt;"",IF('08 - READINESS'!F44="","",'08 - READINESS'!F44),"")</f>
        <v/>
      </c>
      <c r="Z272" t="str">
        <f>IF('08 - READINESS'!A44&lt;&gt;"","Readiness","")</f>
        <v/>
      </c>
      <c r="AA272" t="str">
        <f>IF('08 - READINESS'!A44&lt;&gt;"",IF('08 - READINESS'!A44="","",'08 - READINESS'!A44),"")</f>
        <v/>
      </c>
      <c r="AB272" t="str">
        <f>IF('08 - READINESS'!A44&lt;&gt;"",IF('08 - READINESS'!B44="","",'08 - READINESS'!B44),"")</f>
        <v/>
      </c>
      <c r="AC272" t="str">
        <f>IF('08 - READINESS'!A44&lt;&gt;"",IF('08 - READINESS'!G44="","",'08 - READINESS'!G44),"")</f>
        <v/>
      </c>
      <c r="AD272" t="str">
        <f>IF('08 - READINESS'!A44&lt;&gt;"",IF('08 - READINESS'!H44="","",'08 - READINESS'!H44),"")</f>
        <v/>
      </c>
      <c r="AE272" t="str">
        <f>IF('08 - READINESS'!A44&lt;&gt;"",IF('08 - READINESS'!D44="","",'08 - READINESS'!D44),"")</f>
        <v/>
      </c>
      <c r="AF272" s="17" t="str">
        <f>IF('08 - READINESS'!A44&lt;&gt;"",IF('08 - READINESS'!E44="","",'08 - READINESS'!E44),"")</f>
        <v/>
      </c>
      <c r="AG272" t="str">
        <f>IF('08 - READINESS'!A44&lt;&gt;"",IF('08 - READINESS'!I44="","",'08 - READINESS'!I44),"")</f>
        <v/>
      </c>
      <c r="AH272" t="str">
        <f>IF('08 - READINESS'!A44&lt;&gt;"",IF('08 - READINESS'!J44="","",'08 - READINESS'!J44),"")</f>
        <v/>
      </c>
      <c r="AI272" t="str">
        <f>IF('08 - READINESS'!A44&lt;&gt;"",IF('08 - READINESS'!C44="","",'08 - READINESS'!C44),"")</f>
        <v/>
      </c>
      <c r="AJ272" t="str">
        <f>IF('08 - READINESS'!A44&lt;&gt;"","08 - READINESS row 44","")</f>
        <v/>
      </c>
      <c r="AK272">
        <f>IF(AND('08 - READINESS'!A44&lt;&gt;"",OR('08 - READINESS'!C44&lt;&gt;"Pass",'08 - READINESS'!G44&lt;&gt;""),OR(AC272&lt;&gt;"",AD272&lt;&gt;"")),IF(Y272="Critical",1,IF(Y272="Review",2,3))*100000000+IF(ISNUMBER(AF272),AF272,99999)*1000+ROW(),999999999999)</f>
        <v>999999999999</v>
      </c>
      <c r="AL272">
        <f t="shared" si="23"/>
        <v>999999999999</v>
      </c>
      <c r="AM272">
        <f t="shared" si="27"/>
        <v>999999999999</v>
      </c>
      <c r="AN272">
        <f>IF(AND(ISNUMBER(AK272),'08 - READINESS'!V44="Yes"),AK272,999999999999)</f>
        <v>999999999999</v>
      </c>
      <c r="AO272">
        <f t="shared" si="25"/>
        <v>999999999999</v>
      </c>
      <c r="AP272">
        <f t="shared" si="22"/>
        <v>999999999999</v>
      </c>
      <c r="AQ272">
        <f t="shared" si="28"/>
        <v>999999999999</v>
      </c>
      <c r="AR272">
        <f t="shared" si="26"/>
        <v>0</v>
      </c>
    </row>
    <row r="273" spans="25:44">
      <c r="Y273" t="str">
        <f>IF('08 - READINESS'!A45&lt;&gt;"",IF('08 - READINESS'!F45="","",'08 - READINESS'!F45),"")</f>
        <v/>
      </c>
      <c r="Z273" t="str">
        <f>IF('08 - READINESS'!A45&lt;&gt;"","Readiness","")</f>
        <v/>
      </c>
      <c r="AA273" t="str">
        <f>IF('08 - READINESS'!A45&lt;&gt;"",IF('08 - READINESS'!A45="","",'08 - READINESS'!A45),"")</f>
        <v/>
      </c>
      <c r="AB273" t="str">
        <f>IF('08 - READINESS'!A45&lt;&gt;"",IF('08 - READINESS'!B45="","",'08 - READINESS'!B45),"")</f>
        <v/>
      </c>
      <c r="AC273" t="str">
        <f>IF('08 - READINESS'!A45&lt;&gt;"",IF('08 - READINESS'!G45="","",'08 - READINESS'!G45),"")</f>
        <v/>
      </c>
      <c r="AD273" t="str">
        <f>IF('08 - READINESS'!A45&lt;&gt;"",IF('08 - READINESS'!H45="","",'08 - READINESS'!H45),"")</f>
        <v/>
      </c>
      <c r="AE273" t="str">
        <f>IF('08 - READINESS'!A45&lt;&gt;"",IF('08 - READINESS'!D45="","",'08 - READINESS'!D45),"")</f>
        <v/>
      </c>
      <c r="AF273" s="17" t="str">
        <f>IF('08 - READINESS'!A45&lt;&gt;"",IF('08 - READINESS'!E45="","",'08 - READINESS'!E45),"")</f>
        <v/>
      </c>
      <c r="AG273" t="str">
        <f>IF('08 - READINESS'!A45&lt;&gt;"",IF('08 - READINESS'!I45="","",'08 - READINESS'!I45),"")</f>
        <v/>
      </c>
      <c r="AH273" t="str">
        <f>IF('08 - READINESS'!A45&lt;&gt;"",IF('08 - READINESS'!J45="","",'08 - READINESS'!J45),"")</f>
        <v/>
      </c>
      <c r="AI273" t="str">
        <f>IF('08 - READINESS'!A45&lt;&gt;"",IF('08 - READINESS'!C45="","",'08 - READINESS'!C45),"")</f>
        <v/>
      </c>
      <c r="AJ273" t="str">
        <f>IF('08 - READINESS'!A45&lt;&gt;"","08 - READINESS row 45","")</f>
        <v/>
      </c>
      <c r="AK273">
        <f>IF(AND('08 - READINESS'!A45&lt;&gt;"",OR('08 - READINESS'!C45&lt;&gt;"Pass",'08 - READINESS'!G45&lt;&gt;""),OR(AC273&lt;&gt;"",AD273&lt;&gt;"")),IF(Y273="Critical",1,IF(Y273="Review",2,3))*100000000+IF(ISNUMBER(AF273),AF273,99999)*1000+ROW(),999999999999)</f>
        <v>999999999999</v>
      </c>
      <c r="AL273">
        <f t="shared" si="23"/>
        <v>999999999999</v>
      </c>
      <c r="AM273">
        <f t="shared" si="27"/>
        <v>999999999999</v>
      </c>
      <c r="AN273">
        <f>IF(AND(ISNUMBER(AK273),'08 - READINESS'!V45="Yes"),AK273,999999999999)</f>
        <v>999999999999</v>
      </c>
      <c r="AO273">
        <f t="shared" si="25"/>
        <v>999999999999</v>
      </c>
      <c r="AP273">
        <f t="shared" si="22"/>
        <v>999999999999</v>
      </c>
      <c r="AQ273">
        <f t="shared" si="28"/>
        <v>999999999999</v>
      </c>
      <c r="AR273">
        <f t="shared" si="26"/>
        <v>0</v>
      </c>
    </row>
    <row r="274" spans="25:44">
      <c r="Y274" t="str">
        <f>IF('08 - READINESS'!A46&lt;&gt;"",IF('08 - READINESS'!F46="","",'08 - READINESS'!F46),"")</f>
        <v/>
      </c>
      <c r="Z274" t="str">
        <f>IF('08 - READINESS'!A46&lt;&gt;"","Readiness","")</f>
        <v/>
      </c>
      <c r="AA274" t="str">
        <f>IF('08 - READINESS'!A46&lt;&gt;"",IF('08 - READINESS'!A46="","",'08 - READINESS'!A46),"")</f>
        <v/>
      </c>
      <c r="AB274" t="str">
        <f>IF('08 - READINESS'!A46&lt;&gt;"",IF('08 - READINESS'!B46="","",'08 - READINESS'!B46),"")</f>
        <v/>
      </c>
      <c r="AC274" t="str">
        <f>IF('08 - READINESS'!A46&lt;&gt;"",IF('08 - READINESS'!G46="","",'08 - READINESS'!G46),"")</f>
        <v/>
      </c>
      <c r="AD274" t="str">
        <f>IF('08 - READINESS'!A46&lt;&gt;"",IF('08 - READINESS'!H46="","",'08 - READINESS'!H46),"")</f>
        <v/>
      </c>
      <c r="AE274" t="str">
        <f>IF('08 - READINESS'!A46&lt;&gt;"",IF('08 - READINESS'!D46="","",'08 - READINESS'!D46),"")</f>
        <v/>
      </c>
      <c r="AF274" s="17" t="str">
        <f>IF('08 - READINESS'!A46&lt;&gt;"",IF('08 - READINESS'!E46="","",'08 - READINESS'!E46),"")</f>
        <v/>
      </c>
      <c r="AG274" t="str">
        <f>IF('08 - READINESS'!A46&lt;&gt;"",IF('08 - READINESS'!I46="","",'08 - READINESS'!I46),"")</f>
        <v/>
      </c>
      <c r="AH274" t="str">
        <f>IF('08 - READINESS'!A46&lt;&gt;"",IF('08 - READINESS'!J46="","",'08 - READINESS'!J46),"")</f>
        <v/>
      </c>
      <c r="AI274" t="str">
        <f>IF('08 - READINESS'!A46&lt;&gt;"",IF('08 - READINESS'!C46="","",'08 - READINESS'!C46),"")</f>
        <v/>
      </c>
      <c r="AJ274" t="str">
        <f>IF('08 - READINESS'!A46&lt;&gt;"","08 - READINESS row 46","")</f>
        <v/>
      </c>
      <c r="AK274">
        <f>IF(AND('08 - READINESS'!A46&lt;&gt;"",OR('08 - READINESS'!C46&lt;&gt;"Pass",'08 - READINESS'!G46&lt;&gt;""),OR(AC274&lt;&gt;"",AD274&lt;&gt;"")),IF(Y274="Critical",1,IF(Y274="Review",2,3))*100000000+IF(ISNUMBER(AF274),AF274,99999)*1000+ROW(),999999999999)</f>
        <v>999999999999</v>
      </c>
      <c r="AL274">
        <f t="shared" si="23"/>
        <v>999999999999</v>
      </c>
      <c r="AM274">
        <f t="shared" si="27"/>
        <v>999999999999</v>
      </c>
      <c r="AN274">
        <f>IF(AND(ISNUMBER(AK274),'08 - READINESS'!V46="Yes"),AK274,999999999999)</f>
        <v>999999999999</v>
      </c>
      <c r="AO274">
        <f t="shared" si="25"/>
        <v>999999999999</v>
      </c>
      <c r="AP274">
        <f t="shared" si="22"/>
        <v>999999999999</v>
      </c>
      <c r="AQ274">
        <f t="shared" si="28"/>
        <v>999999999999</v>
      </c>
      <c r="AR274">
        <f t="shared" si="26"/>
        <v>0</v>
      </c>
    </row>
    <row r="275" spans="25:44">
      <c r="Y275" t="str">
        <f>IF('08 - READINESS'!A47&lt;&gt;"",IF('08 - READINESS'!F47="","",'08 - READINESS'!F47),"")</f>
        <v/>
      </c>
      <c r="Z275" t="str">
        <f>IF('08 - READINESS'!A47&lt;&gt;"","Readiness","")</f>
        <v/>
      </c>
      <c r="AA275" t="str">
        <f>IF('08 - READINESS'!A47&lt;&gt;"",IF('08 - READINESS'!A47="","",'08 - READINESS'!A47),"")</f>
        <v/>
      </c>
      <c r="AB275" t="str">
        <f>IF('08 - READINESS'!A47&lt;&gt;"",IF('08 - READINESS'!B47="","",'08 - READINESS'!B47),"")</f>
        <v/>
      </c>
      <c r="AC275" t="str">
        <f>IF('08 - READINESS'!A47&lt;&gt;"",IF('08 - READINESS'!G47="","",'08 - READINESS'!G47),"")</f>
        <v/>
      </c>
      <c r="AD275" t="str">
        <f>IF('08 - READINESS'!A47&lt;&gt;"",IF('08 - READINESS'!H47="","",'08 - READINESS'!H47),"")</f>
        <v/>
      </c>
      <c r="AE275" t="str">
        <f>IF('08 - READINESS'!A47&lt;&gt;"",IF('08 - READINESS'!D47="","",'08 - READINESS'!D47),"")</f>
        <v/>
      </c>
      <c r="AF275" s="17" t="str">
        <f>IF('08 - READINESS'!A47&lt;&gt;"",IF('08 - READINESS'!E47="","",'08 - READINESS'!E47),"")</f>
        <v/>
      </c>
      <c r="AG275" t="str">
        <f>IF('08 - READINESS'!A47&lt;&gt;"",IF('08 - READINESS'!I47="","",'08 - READINESS'!I47),"")</f>
        <v/>
      </c>
      <c r="AH275" t="str">
        <f>IF('08 - READINESS'!A47&lt;&gt;"",IF('08 - READINESS'!J47="","",'08 - READINESS'!J47),"")</f>
        <v/>
      </c>
      <c r="AI275" t="str">
        <f>IF('08 - READINESS'!A47&lt;&gt;"",IF('08 - READINESS'!C47="","",'08 - READINESS'!C47),"")</f>
        <v/>
      </c>
      <c r="AJ275" t="str">
        <f>IF('08 - READINESS'!A47&lt;&gt;"","08 - READINESS row 47","")</f>
        <v/>
      </c>
      <c r="AK275">
        <f>IF(AND('08 - READINESS'!A47&lt;&gt;"",OR('08 - READINESS'!C47&lt;&gt;"Pass",'08 - READINESS'!G47&lt;&gt;""),OR(AC275&lt;&gt;"",AD275&lt;&gt;"")),IF(Y275="Critical",1,IF(Y275="Review",2,3))*100000000+IF(ISNUMBER(AF275),AF275,99999)*1000+ROW(),999999999999)</f>
        <v>999999999999</v>
      </c>
      <c r="AL275">
        <f t="shared" si="23"/>
        <v>999999999999</v>
      </c>
      <c r="AM275">
        <f t="shared" si="27"/>
        <v>999999999999</v>
      </c>
      <c r="AN275">
        <f>IF(AND(ISNUMBER(AK275),'08 - READINESS'!V47="Yes"),AK275,999999999999)</f>
        <v>999999999999</v>
      </c>
      <c r="AO275">
        <f t="shared" si="25"/>
        <v>999999999999</v>
      </c>
      <c r="AP275">
        <f t="shared" si="22"/>
        <v>999999999999</v>
      </c>
      <c r="AQ275">
        <f t="shared" si="28"/>
        <v>999999999999</v>
      </c>
      <c r="AR275">
        <f t="shared" si="26"/>
        <v>0</v>
      </c>
    </row>
    <row r="276" spans="25:44">
      <c r="Y276" t="str">
        <f>IF('08 - READINESS'!A48&lt;&gt;"",IF('08 - READINESS'!F48="","",'08 - READINESS'!F48),"")</f>
        <v/>
      </c>
      <c r="Z276" t="str">
        <f>IF('08 - READINESS'!A48&lt;&gt;"","Readiness","")</f>
        <v/>
      </c>
      <c r="AA276" t="str">
        <f>IF('08 - READINESS'!A48&lt;&gt;"",IF('08 - READINESS'!A48="","",'08 - READINESS'!A48),"")</f>
        <v/>
      </c>
      <c r="AB276" t="str">
        <f>IF('08 - READINESS'!A48&lt;&gt;"",IF('08 - READINESS'!B48="","",'08 - READINESS'!B48),"")</f>
        <v/>
      </c>
      <c r="AC276" t="str">
        <f>IF('08 - READINESS'!A48&lt;&gt;"",IF('08 - READINESS'!G48="","",'08 - READINESS'!G48),"")</f>
        <v/>
      </c>
      <c r="AD276" t="str">
        <f>IF('08 - READINESS'!A48&lt;&gt;"",IF('08 - READINESS'!H48="","",'08 - READINESS'!H48),"")</f>
        <v/>
      </c>
      <c r="AE276" t="str">
        <f>IF('08 - READINESS'!A48&lt;&gt;"",IF('08 - READINESS'!D48="","",'08 - READINESS'!D48),"")</f>
        <v/>
      </c>
      <c r="AF276" s="17" t="str">
        <f>IF('08 - READINESS'!A48&lt;&gt;"",IF('08 - READINESS'!E48="","",'08 - READINESS'!E48),"")</f>
        <v/>
      </c>
      <c r="AG276" t="str">
        <f>IF('08 - READINESS'!A48&lt;&gt;"",IF('08 - READINESS'!I48="","",'08 - READINESS'!I48),"")</f>
        <v/>
      </c>
      <c r="AH276" t="str">
        <f>IF('08 - READINESS'!A48&lt;&gt;"",IF('08 - READINESS'!J48="","",'08 - READINESS'!J48),"")</f>
        <v/>
      </c>
      <c r="AI276" t="str">
        <f>IF('08 - READINESS'!A48&lt;&gt;"",IF('08 - READINESS'!C48="","",'08 - READINESS'!C48),"")</f>
        <v/>
      </c>
      <c r="AJ276" t="str">
        <f>IF('08 - READINESS'!A48&lt;&gt;"","08 - READINESS row 48","")</f>
        <v/>
      </c>
      <c r="AK276">
        <f>IF(AND('08 - READINESS'!A48&lt;&gt;"",OR('08 - READINESS'!C48&lt;&gt;"Pass",'08 - READINESS'!G48&lt;&gt;""),OR(AC276&lt;&gt;"",AD276&lt;&gt;"")),IF(Y276="Critical",1,IF(Y276="Review",2,3))*100000000+IF(ISNUMBER(AF276),AF276,99999)*1000+ROW(),999999999999)</f>
        <v>999999999999</v>
      </c>
      <c r="AL276">
        <f t="shared" si="23"/>
        <v>999999999999</v>
      </c>
      <c r="AM276">
        <f t="shared" si="27"/>
        <v>999999999999</v>
      </c>
      <c r="AN276">
        <f>IF(AND(ISNUMBER(AK276),'08 - READINESS'!V48="Yes"),AK276,999999999999)</f>
        <v>999999999999</v>
      </c>
      <c r="AO276">
        <f t="shared" si="25"/>
        <v>999999999999</v>
      </c>
      <c r="AP276">
        <f t="shared" si="22"/>
        <v>999999999999</v>
      </c>
      <c r="AQ276">
        <f t="shared" si="28"/>
        <v>999999999999</v>
      </c>
      <c r="AR276">
        <f t="shared" si="26"/>
        <v>0</v>
      </c>
    </row>
    <row r="277" spans="25:44">
      <c r="Y277" t="str">
        <f>IF('08 - READINESS'!A49&lt;&gt;"",IF('08 - READINESS'!F49="","",'08 - READINESS'!F49),"")</f>
        <v/>
      </c>
      <c r="Z277" t="str">
        <f>IF('08 - READINESS'!A49&lt;&gt;"","Readiness","")</f>
        <v/>
      </c>
      <c r="AA277" t="str">
        <f>IF('08 - READINESS'!A49&lt;&gt;"",IF('08 - READINESS'!A49="","",'08 - READINESS'!A49),"")</f>
        <v/>
      </c>
      <c r="AB277" t="str">
        <f>IF('08 - READINESS'!A49&lt;&gt;"",IF('08 - READINESS'!B49="","",'08 - READINESS'!B49),"")</f>
        <v/>
      </c>
      <c r="AC277" t="str">
        <f>IF('08 - READINESS'!A49&lt;&gt;"",IF('08 - READINESS'!G49="","",'08 - READINESS'!G49),"")</f>
        <v/>
      </c>
      <c r="AD277" t="str">
        <f>IF('08 - READINESS'!A49&lt;&gt;"",IF('08 - READINESS'!H49="","",'08 - READINESS'!H49),"")</f>
        <v/>
      </c>
      <c r="AE277" t="str">
        <f>IF('08 - READINESS'!A49&lt;&gt;"",IF('08 - READINESS'!D49="","",'08 - READINESS'!D49),"")</f>
        <v/>
      </c>
      <c r="AF277" s="17" t="str">
        <f>IF('08 - READINESS'!A49&lt;&gt;"",IF('08 - READINESS'!E49="","",'08 - READINESS'!E49),"")</f>
        <v/>
      </c>
      <c r="AG277" t="str">
        <f>IF('08 - READINESS'!A49&lt;&gt;"",IF('08 - READINESS'!I49="","",'08 - READINESS'!I49),"")</f>
        <v/>
      </c>
      <c r="AH277" t="str">
        <f>IF('08 - READINESS'!A49&lt;&gt;"",IF('08 - READINESS'!J49="","",'08 - READINESS'!J49),"")</f>
        <v/>
      </c>
      <c r="AI277" t="str">
        <f>IF('08 - READINESS'!A49&lt;&gt;"",IF('08 - READINESS'!C49="","",'08 - READINESS'!C49),"")</f>
        <v/>
      </c>
      <c r="AJ277" t="str">
        <f>IF('08 - READINESS'!A49&lt;&gt;"","08 - READINESS row 49","")</f>
        <v/>
      </c>
      <c r="AK277">
        <f>IF(AND('08 - READINESS'!A49&lt;&gt;"",OR('08 - READINESS'!C49&lt;&gt;"Pass",'08 - READINESS'!G49&lt;&gt;""),OR(AC277&lt;&gt;"",AD277&lt;&gt;"")),IF(Y277="Critical",1,IF(Y277="Review",2,3))*100000000+IF(ISNUMBER(AF277),AF277,99999)*1000+ROW(),999999999999)</f>
        <v>999999999999</v>
      </c>
      <c r="AL277">
        <f t="shared" si="23"/>
        <v>999999999999</v>
      </c>
      <c r="AM277">
        <f t="shared" si="27"/>
        <v>999999999999</v>
      </c>
      <c r="AN277">
        <f>IF(AND(ISNUMBER(AK277),'08 - READINESS'!V49="Yes"),AK277,999999999999)</f>
        <v>999999999999</v>
      </c>
      <c r="AO277">
        <f t="shared" si="25"/>
        <v>999999999999</v>
      </c>
      <c r="AP277">
        <f t="shared" si="22"/>
        <v>999999999999</v>
      </c>
      <c r="AQ277">
        <f t="shared" si="28"/>
        <v>999999999999</v>
      </c>
      <c r="AR277">
        <f t="shared" si="26"/>
        <v>0</v>
      </c>
    </row>
    <row r="278" spans="25:44">
      <c r="Y278" t="str">
        <f>IF('08 - READINESS'!A50&lt;&gt;"",IF('08 - READINESS'!F50="","",'08 - READINESS'!F50),"")</f>
        <v/>
      </c>
      <c r="Z278" t="str">
        <f>IF('08 - READINESS'!A50&lt;&gt;"","Readiness","")</f>
        <v/>
      </c>
      <c r="AA278" t="str">
        <f>IF('08 - READINESS'!A50&lt;&gt;"",IF('08 - READINESS'!A50="","",'08 - READINESS'!A50),"")</f>
        <v/>
      </c>
      <c r="AB278" t="str">
        <f>IF('08 - READINESS'!A50&lt;&gt;"",IF('08 - READINESS'!B50="","",'08 - READINESS'!B50),"")</f>
        <v/>
      </c>
      <c r="AC278" t="str">
        <f>IF('08 - READINESS'!A50&lt;&gt;"",IF('08 - READINESS'!G50="","",'08 - READINESS'!G50),"")</f>
        <v/>
      </c>
      <c r="AD278" t="str">
        <f>IF('08 - READINESS'!A50&lt;&gt;"",IF('08 - READINESS'!H50="","",'08 - READINESS'!H50),"")</f>
        <v/>
      </c>
      <c r="AE278" t="str">
        <f>IF('08 - READINESS'!A50&lt;&gt;"",IF('08 - READINESS'!D50="","",'08 - READINESS'!D50),"")</f>
        <v/>
      </c>
      <c r="AF278" s="17" t="str">
        <f>IF('08 - READINESS'!A50&lt;&gt;"",IF('08 - READINESS'!E50="","",'08 - READINESS'!E50),"")</f>
        <v/>
      </c>
      <c r="AG278" t="str">
        <f>IF('08 - READINESS'!A50&lt;&gt;"",IF('08 - READINESS'!I50="","",'08 - READINESS'!I50),"")</f>
        <v/>
      </c>
      <c r="AH278" t="str">
        <f>IF('08 - READINESS'!A50&lt;&gt;"",IF('08 - READINESS'!J50="","",'08 - READINESS'!J50),"")</f>
        <v/>
      </c>
      <c r="AI278" t="str">
        <f>IF('08 - READINESS'!A50&lt;&gt;"",IF('08 - READINESS'!C50="","",'08 - READINESS'!C50),"")</f>
        <v/>
      </c>
      <c r="AJ278" t="str">
        <f>IF('08 - READINESS'!A50&lt;&gt;"","08 - READINESS row 50","")</f>
        <v/>
      </c>
      <c r="AK278">
        <f>IF(AND('08 - READINESS'!A50&lt;&gt;"",OR('08 - READINESS'!C50&lt;&gt;"Pass",'08 - READINESS'!G50&lt;&gt;""),OR(AC278&lt;&gt;"",AD278&lt;&gt;"")),IF(Y278="Critical",1,IF(Y278="Review",2,3))*100000000+IF(ISNUMBER(AF278),AF278,99999)*1000+ROW(),999999999999)</f>
        <v>999999999999</v>
      </c>
      <c r="AL278">
        <f t="shared" si="23"/>
        <v>999999999999</v>
      </c>
      <c r="AM278">
        <f t="shared" si="27"/>
        <v>999999999999</v>
      </c>
      <c r="AN278">
        <f>IF(AND(ISNUMBER(AK278),'08 - READINESS'!V50="Yes"),AK278,999999999999)</f>
        <v>999999999999</v>
      </c>
      <c r="AO278">
        <f t="shared" si="25"/>
        <v>999999999999</v>
      </c>
      <c r="AP278">
        <f t="shared" si="22"/>
        <v>999999999999</v>
      </c>
      <c r="AQ278">
        <f t="shared" si="28"/>
        <v>999999999999</v>
      </c>
      <c r="AR278">
        <f t="shared" si="26"/>
        <v>0</v>
      </c>
    </row>
    <row r="279" spans="25:44">
      <c r="Y279" t="str">
        <f>IF('08 - READINESS'!A51&lt;&gt;"",IF('08 - READINESS'!F51="","",'08 - READINESS'!F51),"")</f>
        <v/>
      </c>
      <c r="Z279" t="str">
        <f>IF('08 - READINESS'!A51&lt;&gt;"","Readiness","")</f>
        <v/>
      </c>
      <c r="AA279" t="str">
        <f>IF('08 - READINESS'!A51&lt;&gt;"",IF('08 - READINESS'!A51="","",'08 - READINESS'!A51),"")</f>
        <v/>
      </c>
      <c r="AB279" t="str">
        <f>IF('08 - READINESS'!A51&lt;&gt;"",IF('08 - READINESS'!B51="","",'08 - READINESS'!B51),"")</f>
        <v/>
      </c>
      <c r="AC279" t="str">
        <f>IF('08 - READINESS'!A51&lt;&gt;"",IF('08 - READINESS'!G51="","",'08 - READINESS'!G51),"")</f>
        <v/>
      </c>
      <c r="AD279" t="str">
        <f>IF('08 - READINESS'!A51&lt;&gt;"",IF('08 - READINESS'!H51="","",'08 - READINESS'!H51),"")</f>
        <v/>
      </c>
      <c r="AE279" t="str">
        <f>IF('08 - READINESS'!A51&lt;&gt;"",IF('08 - READINESS'!D51="","",'08 - READINESS'!D51),"")</f>
        <v/>
      </c>
      <c r="AF279" s="17" t="str">
        <f>IF('08 - READINESS'!A51&lt;&gt;"",IF('08 - READINESS'!E51="","",'08 - READINESS'!E51),"")</f>
        <v/>
      </c>
      <c r="AG279" t="str">
        <f>IF('08 - READINESS'!A51&lt;&gt;"",IF('08 - READINESS'!I51="","",'08 - READINESS'!I51),"")</f>
        <v/>
      </c>
      <c r="AH279" t="str">
        <f>IF('08 - READINESS'!A51&lt;&gt;"",IF('08 - READINESS'!J51="","",'08 - READINESS'!J51),"")</f>
        <v/>
      </c>
      <c r="AI279" t="str">
        <f>IF('08 - READINESS'!A51&lt;&gt;"",IF('08 - READINESS'!C51="","",'08 - READINESS'!C51),"")</f>
        <v/>
      </c>
      <c r="AJ279" t="str">
        <f>IF('08 - READINESS'!A51&lt;&gt;"","08 - READINESS row 51","")</f>
        <v/>
      </c>
      <c r="AK279">
        <f>IF(AND('08 - READINESS'!A51&lt;&gt;"",OR('08 - READINESS'!C51&lt;&gt;"Pass",'08 - READINESS'!G51&lt;&gt;""),OR(AC279&lt;&gt;"",AD279&lt;&gt;"")),IF(Y279="Critical",1,IF(Y279="Review",2,3))*100000000+IF(ISNUMBER(AF279),AF279,99999)*1000+ROW(),999999999999)</f>
        <v>999999999999</v>
      </c>
      <c r="AL279">
        <f t="shared" si="23"/>
        <v>999999999999</v>
      </c>
      <c r="AM279">
        <f t="shared" si="27"/>
        <v>999999999999</v>
      </c>
      <c r="AN279">
        <f>IF(AND(ISNUMBER(AK279),'08 - READINESS'!V51="Yes"),AK279,999999999999)</f>
        <v>999999999999</v>
      </c>
      <c r="AO279">
        <f t="shared" si="25"/>
        <v>999999999999</v>
      </c>
      <c r="AP279">
        <f t="shared" ref="AP279:AP342" si="29">IF(AND(ISNUMBER(AK279),FALSE),AK279,999999999999)</f>
        <v>999999999999</v>
      </c>
      <c r="AQ279">
        <f t="shared" si="28"/>
        <v>999999999999</v>
      </c>
      <c r="AR279">
        <f t="shared" si="26"/>
        <v>0</v>
      </c>
    </row>
    <row r="280" spans="25:44">
      <c r="Y280" t="str">
        <f>IF('08 - READINESS'!A52&lt;&gt;"",IF('08 - READINESS'!F52="","",'08 - READINESS'!F52),"")</f>
        <v/>
      </c>
      <c r="Z280" t="str">
        <f>IF('08 - READINESS'!A52&lt;&gt;"","Readiness","")</f>
        <v/>
      </c>
      <c r="AA280" t="str">
        <f>IF('08 - READINESS'!A52&lt;&gt;"",IF('08 - READINESS'!A52="","",'08 - READINESS'!A52),"")</f>
        <v/>
      </c>
      <c r="AB280" t="str">
        <f>IF('08 - READINESS'!A52&lt;&gt;"",IF('08 - READINESS'!B52="","",'08 - READINESS'!B52),"")</f>
        <v/>
      </c>
      <c r="AC280" t="str">
        <f>IF('08 - READINESS'!A52&lt;&gt;"",IF('08 - READINESS'!G52="","",'08 - READINESS'!G52),"")</f>
        <v/>
      </c>
      <c r="AD280" t="str">
        <f>IF('08 - READINESS'!A52&lt;&gt;"",IF('08 - READINESS'!H52="","",'08 - READINESS'!H52),"")</f>
        <v/>
      </c>
      <c r="AE280" t="str">
        <f>IF('08 - READINESS'!A52&lt;&gt;"",IF('08 - READINESS'!D52="","",'08 - READINESS'!D52),"")</f>
        <v/>
      </c>
      <c r="AF280" s="17" t="str">
        <f>IF('08 - READINESS'!A52&lt;&gt;"",IF('08 - READINESS'!E52="","",'08 - READINESS'!E52),"")</f>
        <v/>
      </c>
      <c r="AG280" t="str">
        <f>IF('08 - READINESS'!A52&lt;&gt;"",IF('08 - READINESS'!I52="","",'08 - READINESS'!I52),"")</f>
        <v/>
      </c>
      <c r="AH280" t="str">
        <f>IF('08 - READINESS'!A52&lt;&gt;"",IF('08 - READINESS'!J52="","",'08 - READINESS'!J52),"")</f>
        <v/>
      </c>
      <c r="AI280" t="str">
        <f>IF('08 - READINESS'!A52&lt;&gt;"",IF('08 - READINESS'!C52="","",'08 - READINESS'!C52),"")</f>
        <v/>
      </c>
      <c r="AJ280" t="str">
        <f>IF('08 - READINESS'!A52&lt;&gt;"","08 - READINESS row 52","")</f>
        <v/>
      </c>
      <c r="AK280">
        <f>IF(AND('08 - READINESS'!A52&lt;&gt;"",OR('08 - READINESS'!C52&lt;&gt;"Pass",'08 - READINESS'!G52&lt;&gt;""),OR(AC280&lt;&gt;"",AD280&lt;&gt;"")),IF(Y280="Critical",1,IF(Y280="Review",2,3))*100000000+IF(ISNUMBER(AF280),AF280,99999)*1000+ROW(),999999999999)</f>
        <v>999999999999</v>
      </c>
      <c r="AL280">
        <f t="shared" si="23"/>
        <v>999999999999</v>
      </c>
      <c r="AM280">
        <f t="shared" si="27"/>
        <v>999999999999</v>
      </c>
      <c r="AN280">
        <f>IF(AND(ISNUMBER(AK280),'08 - READINESS'!V52="Yes"),AK280,999999999999)</f>
        <v>999999999999</v>
      </c>
      <c r="AO280">
        <f t="shared" si="25"/>
        <v>999999999999</v>
      </c>
      <c r="AP280">
        <f t="shared" si="29"/>
        <v>999999999999</v>
      </c>
      <c r="AQ280">
        <f t="shared" si="28"/>
        <v>999999999999</v>
      </c>
      <c r="AR280">
        <f t="shared" si="26"/>
        <v>0</v>
      </c>
    </row>
    <row r="281" spans="25:44">
      <c r="Y281" t="str">
        <f>IF('08 - READINESS'!A53&lt;&gt;"",IF('08 - READINESS'!F53="","",'08 - READINESS'!F53),"")</f>
        <v/>
      </c>
      <c r="Z281" t="str">
        <f>IF('08 - READINESS'!A53&lt;&gt;"","Readiness","")</f>
        <v/>
      </c>
      <c r="AA281" t="str">
        <f>IF('08 - READINESS'!A53&lt;&gt;"",IF('08 - READINESS'!A53="","",'08 - READINESS'!A53),"")</f>
        <v/>
      </c>
      <c r="AB281" t="str">
        <f>IF('08 - READINESS'!A53&lt;&gt;"",IF('08 - READINESS'!B53="","",'08 - READINESS'!B53),"")</f>
        <v/>
      </c>
      <c r="AC281" t="str">
        <f>IF('08 - READINESS'!A53&lt;&gt;"",IF('08 - READINESS'!G53="","",'08 - READINESS'!G53),"")</f>
        <v/>
      </c>
      <c r="AD281" t="str">
        <f>IF('08 - READINESS'!A53&lt;&gt;"",IF('08 - READINESS'!H53="","",'08 - READINESS'!H53),"")</f>
        <v/>
      </c>
      <c r="AE281" t="str">
        <f>IF('08 - READINESS'!A53&lt;&gt;"",IF('08 - READINESS'!D53="","",'08 - READINESS'!D53),"")</f>
        <v/>
      </c>
      <c r="AF281" s="17" t="str">
        <f>IF('08 - READINESS'!A53&lt;&gt;"",IF('08 - READINESS'!E53="","",'08 - READINESS'!E53),"")</f>
        <v/>
      </c>
      <c r="AG281" t="str">
        <f>IF('08 - READINESS'!A53&lt;&gt;"",IF('08 - READINESS'!I53="","",'08 - READINESS'!I53),"")</f>
        <v/>
      </c>
      <c r="AH281" t="str">
        <f>IF('08 - READINESS'!A53&lt;&gt;"",IF('08 - READINESS'!J53="","",'08 - READINESS'!J53),"")</f>
        <v/>
      </c>
      <c r="AI281" t="str">
        <f>IF('08 - READINESS'!A53&lt;&gt;"",IF('08 - READINESS'!C53="","",'08 - READINESS'!C53),"")</f>
        <v/>
      </c>
      <c r="AJ281" t="str">
        <f>IF('08 - READINESS'!A53&lt;&gt;"","08 - READINESS row 53","")</f>
        <v/>
      </c>
      <c r="AK281">
        <f>IF(AND('08 - READINESS'!A53&lt;&gt;"",OR('08 - READINESS'!C53&lt;&gt;"Pass",'08 - READINESS'!G53&lt;&gt;""),OR(AC281&lt;&gt;"",AD281&lt;&gt;"")),IF(Y281="Critical",1,IF(Y281="Review",2,3))*100000000+IF(ISNUMBER(AF281),AF281,99999)*1000+ROW(),999999999999)</f>
        <v>999999999999</v>
      </c>
      <c r="AL281">
        <f t="shared" si="23"/>
        <v>999999999999</v>
      </c>
      <c r="AM281">
        <f t="shared" si="27"/>
        <v>999999999999</v>
      </c>
      <c r="AN281">
        <f>IF(AND(ISNUMBER(AK281),'08 - READINESS'!V53="Yes"),AK281,999999999999)</f>
        <v>999999999999</v>
      </c>
      <c r="AO281">
        <f t="shared" si="25"/>
        <v>999999999999</v>
      </c>
      <c r="AP281">
        <f t="shared" si="29"/>
        <v>999999999999</v>
      </c>
      <c r="AQ281">
        <f t="shared" si="28"/>
        <v>999999999999</v>
      </c>
      <c r="AR281">
        <f t="shared" si="26"/>
        <v>0</v>
      </c>
    </row>
    <row r="282" spans="25:44">
      <c r="Y282" t="str">
        <f>IF('08 - READINESS'!A54&lt;&gt;"",IF('08 - READINESS'!F54="","",'08 - READINESS'!F54),"")</f>
        <v/>
      </c>
      <c r="Z282" t="str">
        <f>IF('08 - READINESS'!A54&lt;&gt;"","Readiness","")</f>
        <v/>
      </c>
      <c r="AA282" t="str">
        <f>IF('08 - READINESS'!A54&lt;&gt;"",IF('08 - READINESS'!A54="","",'08 - READINESS'!A54),"")</f>
        <v/>
      </c>
      <c r="AB282" t="str">
        <f>IF('08 - READINESS'!A54&lt;&gt;"",IF('08 - READINESS'!B54="","",'08 - READINESS'!B54),"")</f>
        <v/>
      </c>
      <c r="AC282" t="str">
        <f>IF('08 - READINESS'!A54&lt;&gt;"",IF('08 - READINESS'!G54="","",'08 - READINESS'!G54),"")</f>
        <v/>
      </c>
      <c r="AD282" t="str">
        <f>IF('08 - READINESS'!A54&lt;&gt;"",IF('08 - READINESS'!H54="","",'08 - READINESS'!H54),"")</f>
        <v/>
      </c>
      <c r="AE282" t="str">
        <f>IF('08 - READINESS'!A54&lt;&gt;"",IF('08 - READINESS'!D54="","",'08 - READINESS'!D54),"")</f>
        <v/>
      </c>
      <c r="AF282" s="17" t="str">
        <f>IF('08 - READINESS'!A54&lt;&gt;"",IF('08 - READINESS'!E54="","",'08 - READINESS'!E54),"")</f>
        <v/>
      </c>
      <c r="AG282" t="str">
        <f>IF('08 - READINESS'!A54&lt;&gt;"",IF('08 - READINESS'!I54="","",'08 - READINESS'!I54),"")</f>
        <v/>
      </c>
      <c r="AH282" t="str">
        <f>IF('08 - READINESS'!A54&lt;&gt;"",IF('08 - READINESS'!J54="","",'08 - READINESS'!J54),"")</f>
        <v/>
      </c>
      <c r="AI282" t="str">
        <f>IF('08 - READINESS'!A54&lt;&gt;"",IF('08 - READINESS'!C54="","",'08 - READINESS'!C54),"")</f>
        <v/>
      </c>
      <c r="AJ282" t="str">
        <f>IF('08 - READINESS'!A54&lt;&gt;"","08 - READINESS row 54","")</f>
        <v/>
      </c>
      <c r="AK282">
        <f>IF(AND('08 - READINESS'!A54&lt;&gt;"",OR('08 - READINESS'!C54&lt;&gt;"Pass",'08 - READINESS'!G54&lt;&gt;""),OR(AC282&lt;&gt;"",AD282&lt;&gt;"")),IF(Y282="Critical",1,IF(Y282="Review",2,3))*100000000+IF(ISNUMBER(AF282),AF282,99999)*1000+ROW(),999999999999)</f>
        <v>999999999999</v>
      </c>
      <c r="AL282">
        <f t="shared" si="23"/>
        <v>999999999999</v>
      </c>
      <c r="AM282">
        <f t="shared" si="27"/>
        <v>999999999999</v>
      </c>
      <c r="AN282">
        <f>IF(AND(ISNUMBER(AK282),'08 - READINESS'!V54="Yes"),AK282,999999999999)</f>
        <v>999999999999</v>
      </c>
      <c r="AO282">
        <f t="shared" si="25"/>
        <v>999999999999</v>
      </c>
      <c r="AP282">
        <f t="shared" si="29"/>
        <v>999999999999</v>
      </c>
      <c r="AQ282">
        <f t="shared" si="28"/>
        <v>999999999999</v>
      </c>
      <c r="AR282">
        <f t="shared" si="26"/>
        <v>0</v>
      </c>
    </row>
    <row r="283" spans="25:44">
      <c r="Y283" t="str">
        <f>IF('08 - READINESS'!A55&lt;&gt;"",IF('08 - READINESS'!F55="","",'08 - READINESS'!F55),"")</f>
        <v/>
      </c>
      <c r="Z283" t="str">
        <f>IF('08 - READINESS'!A55&lt;&gt;"","Readiness","")</f>
        <v/>
      </c>
      <c r="AA283" t="str">
        <f>IF('08 - READINESS'!A55&lt;&gt;"",IF('08 - READINESS'!A55="","",'08 - READINESS'!A55),"")</f>
        <v/>
      </c>
      <c r="AB283" t="str">
        <f>IF('08 - READINESS'!A55&lt;&gt;"",IF('08 - READINESS'!B55="","",'08 - READINESS'!B55),"")</f>
        <v/>
      </c>
      <c r="AC283" t="str">
        <f>IF('08 - READINESS'!A55&lt;&gt;"",IF('08 - READINESS'!G55="","",'08 - READINESS'!G55),"")</f>
        <v/>
      </c>
      <c r="AD283" t="str">
        <f>IF('08 - READINESS'!A55&lt;&gt;"",IF('08 - READINESS'!H55="","",'08 - READINESS'!H55),"")</f>
        <v/>
      </c>
      <c r="AE283" t="str">
        <f>IF('08 - READINESS'!A55&lt;&gt;"",IF('08 - READINESS'!D55="","",'08 - READINESS'!D55),"")</f>
        <v/>
      </c>
      <c r="AF283" s="17" t="str">
        <f>IF('08 - READINESS'!A55&lt;&gt;"",IF('08 - READINESS'!E55="","",'08 - READINESS'!E55),"")</f>
        <v/>
      </c>
      <c r="AG283" t="str">
        <f>IF('08 - READINESS'!A55&lt;&gt;"",IF('08 - READINESS'!I55="","",'08 - READINESS'!I55),"")</f>
        <v/>
      </c>
      <c r="AH283" t="str">
        <f>IF('08 - READINESS'!A55&lt;&gt;"",IF('08 - READINESS'!J55="","",'08 - READINESS'!J55),"")</f>
        <v/>
      </c>
      <c r="AI283" t="str">
        <f>IF('08 - READINESS'!A55&lt;&gt;"",IF('08 - READINESS'!C55="","",'08 - READINESS'!C55),"")</f>
        <v/>
      </c>
      <c r="AJ283" t="str">
        <f>IF('08 - READINESS'!A55&lt;&gt;"","08 - READINESS row 55","")</f>
        <v/>
      </c>
      <c r="AK283">
        <f>IF(AND('08 - READINESS'!A55&lt;&gt;"",OR('08 - READINESS'!C55&lt;&gt;"Pass",'08 - READINESS'!G55&lt;&gt;""),OR(AC283&lt;&gt;"",AD283&lt;&gt;"")),IF(Y283="Critical",1,IF(Y283="Review",2,3))*100000000+IF(ISNUMBER(AF283),AF283,99999)*1000+ROW(),999999999999)</f>
        <v>999999999999</v>
      </c>
      <c r="AL283">
        <f t="shared" si="23"/>
        <v>999999999999</v>
      </c>
      <c r="AM283">
        <f t="shared" si="27"/>
        <v>999999999999</v>
      </c>
      <c r="AN283">
        <f>IF(AND(ISNUMBER(AK283),'08 - READINESS'!V55="Yes"),AK283,999999999999)</f>
        <v>999999999999</v>
      </c>
      <c r="AO283">
        <f t="shared" si="25"/>
        <v>999999999999</v>
      </c>
      <c r="AP283">
        <f t="shared" si="29"/>
        <v>999999999999</v>
      </c>
      <c r="AQ283">
        <f t="shared" si="28"/>
        <v>999999999999</v>
      </c>
      <c r="AR283">
        <f t="shared" si="26"/>
        <v>0</v>
      </c>
    </row>
    <row r="284" spans="25:44">
      <c r="Y284" t="str">
        <f>IF('08 - READINESS'!A56&lt;&gt;"",IF('08 - READINESS'!F56="","",'08 - READINESS'!F56),"")</f>
        <v/>
      </c>
      <c r="Z284" t="str">
        <f>IF('08 - READINESS'!A56&lt;&gt;"","Readiness","")</f>
        <v/>
      </c>
      <c r="AA284" t="str">
        <f>IF('08 - READINESS'!A56&lt;&gt;"",IF('08 - READINESS'!A56="","",'08 - READINESS'!A56),"")</f>
        <v/>
      </c>
      <c r="AB284" t="str">
        <f>IF('08 - READINESS'!A56&lt;&gt;"",IF('08 - READINESS'!B56="","",'08 - READINESS'!B56),"")</f>
        <v/>
      </c>
      <c r="AC284" t="str">
        <f>IF('08 - READINESS'!A56&lt;&gt;"",IF('08 - READINESS'!G56="","",'08 - READINESS'!G56),"")</f>
        <v/>
      </c>
      <c r="AD284" t="str">
        <f>IF('08 - READINESS'!A56&lt;&gt;"",IF('08 - READINESS'!H56="","",'08 - READINESS'!H56),"")</f>
        <v/>
      </c>
      <c r="AE284" t="str">
        <f>IF('08 - READINESS'!A56&lt;&gt;"",IF('08 - READINESS'!D56="","",'08 - READINESS'!D56),"")</f>
        <v/>
      </c>
      <c r="AF284" s="17" t="str">
        <f>IF('08 - READINESS'!A56&lt;&gt;"",IF('08 - READINESS'!E56="","",'08 - READINESS'!E56),"")</f>
        <v/>
      </c>
      <c r="AG284" t="str">
        <f>IF('08 - READINESS'!A56&lt;&gt;"",IF('08 - READINESS'!I56="","",'08 - READINESS'!I56),"")</f>
        <v/>
      </c>
      <c r="AH284" t="str">
        <f>IF('08 - READINESS'!A56&lt;&gt;"",IF('08 - READINESS'!J56="","",'08 - READINESS'!J56),"")</f>
        <v/>
      </c>
      <c r="AI284" t="str">
        <f>IF('08 - READINESS'!A56&lt;&gt;"",IF('08 - READINESS'!C56="","",'08 - READINESS'!C56),"")</f>
        <v/>
      </c>
      <c r="AJ284" t="str">
        <f>IF('08 - READINESS'!A56&lt;&gt;"","08 - READINESS row 56","")</f>
        <v/>
      </c>
      <c r="AK284">
        <f>IF(AND('08 - READINESS'!A56&lt;&gt;"",OR('08 - READINESS'!C56&lt;&gt;"Pass",'08 - READINESS'!G56&lt;&gt;""),OR(AC284&lt;&gt;"",AD284&lt;&gt;"")),IF(Y284="Critical",1,IF(Y284="Review",2,3))*100000000+IF(ISNUMBER(AF284),AF284,99999)*1000+ROW(),999999999999)</f>
        <v>999999999999</v>
      </c>
      <c r="AL284">
        <f t="shared" si="23"/>
        <v>999999999999</v>
      </c>
      <c r="AM284">
        <f t="shared" si="27"/>
        <v>999999999999</v>
      </c>
      <c r="AN284">
        <f>IF(AND(ISNUMBER(AK284),'08 - READINESS'!V56="Yes"),AK284,999999999999)</f>
        <v>999999999999</v>
      </c>
      <c r="AO284">
        <f t="shared" si="25"/>
        <v>999999999999</v>
      </c>
      <c r="AP284">
        <f t="shared" si="29"/>
        <v>999999999999</v>
      </c>
      <c r="AQ284">
        <f t="shared" si="28"/>
        <v>999999999999</v>
      </c>
      <c r="AR284">
        <f t="shared" si="26"/>
        <v>0</v>
      </c>
    </row>
    <row r="285" spans="25:44">
      <c r="Y285" t="str">
        <f>IF('08 - READINESS'!A57&lt;&gt;"",IF('08 - READINESS'!F57="","",'08 - READINESS'!F57),"")</f>
        <v/>
      </c>
      <c r="Z285" t="str">
        <f>IF('08 - READINESS'!A57&lt;&gt;"","Readiness","")</f>
        <v/>
      </c>
      <c r="AA285" t="str">
        <f>IF('08 - READINESS'!A57&lt;&gt;"",IF('08 - READINESS'!A57="","",'08 - READINESS'!A57),"")</f>
        <v/>
      </c>
      <c r="AB285" t="str">
        <f>IF('08 - READINESS'!A57&lt;&gt;"",IF('08 - READINESS'!B57="","",'08 - READINESS'!B57),"")</f>
        <v/>
      </c>
      <c r="AC285" t="str">
        <f>IF('08 - READINESS'!A57&lt;&gt;"",IF('08 - READINESS'!G57="","",'08 - READINESS'!G57),"")</f>
        <v/>
      </c>
      <c r="AD285" t="str">
        <f>IF('08 - READINESS'!A57&lt;&gt;"",IF('08 - READINESS'!H57="","",'08 - READINESS'!H57),"")</f>
        <v/>
      </c>
      <c r="AE285" t="str">
        <f>IF('08 - READINESS'!A57&lt;&gt;"",IF('08 - READINESS'!D57="","",'08 - READINESS'!D57),"")</f>
        <v/>
      </c>
      <c r="AF285" s="17" t="str">
        <f>IF('08 - READINESS'!A57&lt;&gt;"",IF('08 - READINESS'!E57="","",'08 - READINESS'!E57),"")</f>
        <v/>
      </c>
      <c r="AG285" t="str">
        <f>IF('08 - READINESS'!A57&lt;&gt;"",IF('08 - READINESS'!I57="","",'08 - READINESS'!I57),"")</f>
        <v/>
      </c>
      <c r="AH285" t="str">
        <f>IF('08 - READINESS'!A57&lt;&gt;"",IF('08 - READINESS'!J57="","",'08 - READINESS'!J57),"")</f>
        <v/>
      </c>
      <c r="AI285" t="str">
        <f>IF('08 - READINESS'!A57&lt;&gt;"",IF('08 - READINESS'!C57="","",'08 - READINESS'!C57),"")</f>
        <v/>
      </c>
      <c r="AJ285" t="str">
        <f>IF('08 - READINESS'!A57&lt;&gt;"","08 - READINESS row 57","")</f>
        <v/>
      </c>
      <c r="AK285">
        <f>IF(AND('08 - READINESS'!A57&lt;&gt;"",OR('08 - READINESS'!C57&lt;&gt;"Pass",'08 - READINESS'!G57&lt;&gt;""),OR(AC285&lt;&gt;"",AD285&lt;&gt;"")),IF(Y285="Critical",1,IF(Y285="Review",2,3))*100000000+IF(ISNUMBER(AF285),AF285,99999)*1000+ROW(),999999999999)</f>
        <v>999999999999</v>
      </c>
      <c r="AL285">
        <f t="shared" si="23"/>
        <v>999999999999</v>
      </c>
      <c r="AM285">
        <f t="shared" si="27"/>
        <v>999999999999</v>
      </c>
      <c r="AN285">
        <f>IF(AND(ISNUMBER(AK285),'08 - READINESS'!V57="Yes"),AK285,999999999999)</f>
        <v>999999999999</v>
      </c>
      <c r="AO285">
        <f t="shared" si="25"/>
        <v>999999999999</v>
      </c>
      <c r="AP285">
        <f t="shared" si="29"/>
        <v>999999999999</v>
      </c>
      <c r="AQ285">
        <f t="shared" si="28"/>
        <v>999999999999</v>
      </c>
      <c r="AR285">
        <f t="shared" si="26"/>
        <v>0</v>
      </c>
    </row>
    <row r="286" spans="25:44">
      <c r="Y286" t="str">
        <f>IF('08 - READINESS'!A58&lt;&gt;"",IF('08 - READINESS'!F58="","",'08 - READINESS'!F58),"")</f>
        <v/>
      </c>
      <c r="Z286" t="str">
        <f>IF('08 - READINESS'!A58&lt;&gt;"","Readiness","")</f>
        <v/>
      </c>
      <c r="AA286" t="str">
        <f>IF('08 - READINESS'!A58&lt;&gt;"",IF('08 - READINESS'!A58="","",'08 - READINESS'!A58),"")</f>
        <v/>
      </c>
      <c r="AB286" t="str">
        <f>IF('08 - READINESS'!A58&lt;&gt;"",IF('08 - READINESS'!B58="","",'08 - READINESS'!B58),"")</f>
        <v/>
      </c>
      <c r="AC286" t="str">
        <f>IF('08 - READINESS'!A58&lt;&gt;"",IF('08 - READINESS'!G58="","",'08 - READINESS'!G58),"")</f>
        <v/>
      </c>
      <c r="AD286" t="str">
        <f>IF('08 - READINESS'!A58&lt;&gt;"",IF('08 - READINESS'!H58="","",'08 - READINESS'!H58),"")</f>
        <v/>
      </c>
      <c r="AE286" t="str">
        <f>IF('08 - READINESS'!A58&lt;&gt;"",IF('08 - READINESS'!D58="","",'08 - READINESS'!D58),"")</f>
        <v/>
      </c>
      <c r="AF286" s="17" t="str">
        <f>IF('08 - READINESS'!A58&lt;&gt;"",IF('08 - READINESS'!E58="","",'08 - READINESS'!E58),"")</f>
        <v/>
      </c>
      <c r="AG286" t="str">
        <f>IF('08 - READINESS'!A58&lt;&gt;"",IF('08 - READINESS'!I58="","",'08 - READINESS'!I58),"")</f>
        <v/>
      </c>
      <c r="AH286" t="str">
        <f>IF('08 - READINESS'!A58&lt;&gt;"",IF('08 - READINESS'!J58="","",'08 - READINESS'!J58),"")</f>
        <v/>
      </c>
      <c r="AI286" t="str">
        <f>IF('08 - READINESS'!A58&lt;&gt;"",IF('08 - READINESS'!C58="","",'08 - READINESS'!C58),"")</f>
        <v/>
      </c>
      <c r="AJ286" t="str">
        <f>IF('08 - READINESS'!A58&lt;&gt;"","08 - READINESS row 58","")</f>
        <v/>
      </c>
      <c r="AK286">
        <f>IF(AND('08 - READINESS'!A58&lt;&gt;"",OR('08 - READINESS'!C58&lt;&gt;"Pass",'08 - READINESS'!G58&lt;&gt;""),OR(AC286&lt;&gt;"",AD286&lt;&gt;"")),IF(Y286="Critical",1,IF(Y286="Review",2,3))*100000000+IF(ISNUMBER(AF286),AF286,99999)*1000+ROW(),999999999999)</f>
        <v>999999999999</v>
      </c>
      <c r="AL286">
        <f t="shared" ref="AL286:AL349" si="30">IF(AND(ISNUMBER(AK286),Y286="Critical"),AK286,999999999999)</f>
        <v>999999999999</v>
      </c>
      <c r="AM286">
        <f t="shared" si="27"/>
        <v>999999999999</v>
      </c>
      <c r="AN286">
        <f>IF(AND(ISNUMBER(AK286),'08 - READINESS'!V58="Yes"),AK286,999999999999)</f>
        <v>999999999999</v>
      </c>
      <c r="AO286">
        <f t="shared" ref="AO286:AO349" si="31">IF(AND(ISNUMBER(AK286),ISNUMBER(AF286),AF286&gt;=ReviewDate,AF286&lt;=ReviewDate+Upcoming),AF286*1000+ROW(),999999999999)</f>
        <v>999999999999</v>
      </c>
      <c r="AP286">
        <f t="shared" si="29"/>
        <v>999999999999</v>
      </c>
      <c r="AQ286">
        <f t="shared" si="28"/>
        <v>999999999999</v>
      </c>
      <c r="AR286">
        <f t="shared" ref="AR286:AR349" si="32">IF(AC286&lt;&gt;"",1,0)</f>
        <v>0</v>
      </c>
    </row>
    <row r="287" spans="25:44">
      <c r="Y287" t="str">
        <f>IF('09 - ADOPTION &amp; BENEFITS'!A9&lt;&gt;"",IF('09 - ADOPTION &amp; BENEFITS'!F9="","",'09 - ADOPTION &amp; BENEFITS'!F9),"")</f>
        <v>Review</v>
      </c>
      <c r="Z287" t="str">
        <f>IF('09 - ADOPTION &amp; BENEFITS'!A9&lt;&gt;"","Adoption","")</f>
        <v>Adoption</v>
      </c>
      <c r="AA287" t="str">
        <f>IF('09 - ADOPTION &amp; BENEFITS'!A9&lt;&gt;"",IF('09 - ADOPTION &amp; BENEFITS'!A9="","",'09 - ADOPTION &amp; BENEFITS'!A9),"")</f>
        <v>B-01</v>
      </c>
      <c r="AB287" t="str">
        <f>IF('09 - ADOPTION &amp; BENEFITS'!A9&lt;&gt;"",IF('09 - ADOPTION &amp; BENEFITS'!B9="","",'09 - ADOPTION &amp; BENEFITS'!B9),"")</f>
        <v>Reduce manual recovery coordination</v>
      </c>
      <c r="AC287" t="str">
        <f>IF('09 - ADOPTION &amp; BENEFITS'!A9&lt;&gt;"",IF('09 - ADOPTION &amp; BENEFITS'!G9="","",'09 - ADOPTION &amp; BENEFITS'!G9),"")</f>
        <v xml:space="preserve">DENOMINATOR MISSING OR ZERO NO BASELINE HANDOVER NOT RECORDED </v>
      </c>
      <c r="AD287" t="str">
        <f>IF('09 - ADOPTION &amp; BENEFITS'!A9&lt;&gt;"",IF('09 - ADOPTION &amp; BENEFITS'!H9="","",'09 - ADOPTION &amp; BENEFITS'!H9),"")</f>
        <v>Define eligible cohort before reporting adoption percentage.</v>
      </c>
      <c r="AE287" t="str">
        <f>IF('09 - ADOPTION &amp; BENEFITS'!A9&lt;&gt;"",IF('09 - ADOPTION &amp; BENEFITS'!D9="","",'09 - ADOPTION &amp; BENEFITS'!D9),"")</f>
        <v>Service owner</v>
      </c>
      <c r="AF287" s="17">
        <f>IF('09 - ADOPTION &amp; BENEFITS'!A9&lt;&gt;"",IF('09 - ADOPTION &amp; BENEFITS'!E9="","",'09 - ADOPTION &amp; BENEFITS'!E9),"")</f>
        <v>46294</v>
      </c>
      <c r="AG287" t="str">
        <f>IF('09 - ADOPTION &amp; BENEFITS'!A9&lt;&gt;"",IF('09 - ADOPTION &amp; BENEFITS'!I9="","",'09 - ADOPTION &amp; BENEFITS'!I9),"")</f>
        <v>Outcome claim cannot yet be supported</v>
      </c>
      <c r="AH287" t="str">
        <f>IF('09 - ADOPTION &amp; BENEFITS'!A9&lt;&gt;"",IF('09 - ADOPTION &amp; BENEFITS'!J9="","",'09 - ADOPTION &amp; BENEFITS'!J9),"")</f>
        <v>Comparable operator-led exercise with defined eligible cohort</v>
      </c>
      <c r="AI287" t="str">
        <f>IF('09 - ADOPTION &amp; BENEFITS'!A9&lt;&gt;"",IF('09 - ADOPTION &amp; BENEFITS'!C9="","",'09 - ADOPTION &amp; BENEFITS'!C9),"")</f>
        <v>In progress</v>
      </c>
      <c r="AJ287" t="str">
        <f>IF('09 - ADOPTION &amp; BENEFITS'!A9&lt;&gt;"","09 - ADOPTION &amp; BENEFITS row 9","")</f>
        <v>09 - ADOPTION &amp; BENEFITS row 9</v>
      </c>
      <c r="AK287">
        <f>IF(AND('09 - ADOPTION &amp; BENEFITS'!A9&lt;&gt;"",OR('09 - ADOPTION &amp; BENEFITS'!C9&lt;&gt;"Closed",'09 - ADOPTION &amp; BENEFITS'!G9&lt;&gt;""),OR(AC287&lt;&gt;"",AD287&lt;&gt;"")),IF(Y287="Critical",1,IF(Y287="Review",2,3))*100000000+IF(ISNUMBER(AF287),AF287,99999)*1000+ROW(),999999999999)</f>
        <v>246294287</v>
      </c>
      <c r="AL287">
        <f t="shared" si="30"/>
        <v>999999999999</v>
      </c>
      <c r="AM287">
        <f t="shared" si="27"/>
        <v>246294287</v>
      </c>
      <c r="AN287">
        <f t="shared" ref="AN287:AN318" si="33">IF(AND(ISNUMBER(AK287),FALSE),AK287,999999999999)</f>
        <v>999999999999</v>
      </c>
      <c r="AO287">
        <f t="shared" si="31"/>
        <v>46294287</v>
      </c>
      <c r="AP287">
        <f t="shared" si="29"/>
        <v>999999999999</v>
      </c>
      <c r="AQ287">
        <f t="shared" si="28"/>
        <v>999999999999</v>
      </c>
      <c r="AR287">
        <f t="shared" si="32"/>
        <v>1</v>
      </c>
    </row>
    <row r="288" spans="25:44">
      <c r="Y288" t="str">
        <f>IF('09 - ADOPTION &amp; BENEFITS'!A10&lt;&gt;"",IF('09 - ADOPTION &amp; BENEFITS'!F10="","",'09 - ADOPTION &amp; BENEFITS'!F10),"")</f>
        <v/>
      </c>
      <c r="Z288" t="str">
        <f>IF('09 - ADOPTION &amp; BENEFITS'!A10&lt;&gt;"","Adoption","")</f>
        <v/>
      </c>
      <c r="AA288" t="str">
        <f>IF('09 - ADOPTION &amp; BENEFITS'!A10&lt;&gt;"",IF('09 - ADOPTION &amp; BENEFITS'!A10="","",'09 - ADOPTION &amp; BENEFITS'!A10),"")</f>
        <v/>
      </c>
      <c r="AB288" t="str">
        <f>IF('09 - ADOPTION &amp; BENEFITS'!A10&lt;&gt;"",IF('09 - ADOPTION &amp; BENEFITS'!B10="","",'09 - ADOPTION &amp; BENEFITS'!B10),"")</f>
        <v/>
      </c>
      <c r="AC288" t="str">
        <f>IF('09 - ADOPTION &amp; BENEFITS'!A10&lt;&gt;"",IF('09 - ADOPTION &amp; BENEFITS'!G10="","",'09 - ADOPTION &amp; BENEFITS'!G10),"")</f>
        <v/>
      </c>
      <c r="AD288" t="str">
        <f>IF('09 - ADOPTION &amp; BENEFITS'!A10&lt;&gt;"",IF('09 - ADOPTION &amp; BENEFITS'!H10="","",'09 - ADOPTION &amp; BENEFITS'!H10),"")</f>
        <v/>
      </c>
      <c r="AE288" t="str">
        <f>IF('09 - ADOPTION &amp; BENEFITS'!A10&lt;&gt;"",IF('09 - ADOPTION &amp; BENEFITS'!D10="","",'09 - ADOPTION &amp; BENEFITS'!D10),"")</f>
        <v/>
      </c>
      <c r="AF288" s="17" t="str">
        <f>IF('09 - ADOPTION &amp; BENEFITS'!A10&lt;&gt;"",IF('09 - ADOPTION &amp; BENEFITS'!E10="","",'09 - ADOPTION &amp; BENEFITS'!E10),"")</f>
        <v/>
      </c>
      <c r="AG288" t="str">
        <f>IF('09 - ADOPTION &amp; BENEFITS'!A10&lt;&gt;"",IF('09 - ADOPTION &amp; BENEFITS'!I10="","",'09 - ADOPTION &amp; BENEFITS'!I10),"")</f>
        <v/>
      </c>
      <c r="AH288" t="str">
        <f>IF('09 - ADOPTION &amp; BENEFITS'!A10&lt;&gt;"",IF('09 - ADOPTION &amp; BENEFITS'!J10="","",'09 - ADOPTION &amp; BENEFITS'!J10),"")</f>
        <v/>
      </c>
      <c r="AI288" t="str">
        <f>IF('09 - ADOPTION &amp; BENEFITS'!A10&lt;&gt;"",IF('09 - ADOPTION &amp; BENEFITS'!C10="","",'09 - ADOPTION &amp; BENEFITS'!C10),"")</f>
        <v/>
      </c>
      <c r="AJ288" t="str">
        <f>IF('09 - ADOPTION &amp; BENEFITS'!A10&lt;&gt;"","09 - ADOPTION &amp; BENEFITS row 10","")</f>
        <v/>
      </c>
      <c r="AK288">
        <f>IF(AND('09 - ADOPTION &amp; BENEFITS'!A10&lt;&gt;"",OR('09 - ADOPTION &amp; BENEFITS'!C10&lt;&gt;"Closed",'09 - ADOPTION &amp; BENEFITS'!G10&lt;&gt;""),OR(AC288&lt;&gt;"",AD288&lt;&gt;"")),IF(Y288="Critical",1,IF(Y288="Review",2,3))*100000000+IF(ISNUMBER(AF288),AF288,99999)*1000+ROW(),999999999999)</f>
        <v>999999999999</v>
      </c>
      <c r="AL288">
        <f t="shared" si="30"/>
        <v>999999999999</v>
      </c>
      <c r="AM288">
        <f t="shared" si="27"/>
        <v>999999999999</v>
      </c>
      <c r="AN288">
        <f t="shared" si="33"/>
        <v>999999999999</v>
      </c>
      <c r="AO288">
        <f t="shared" si="31"/>
        <v>999999999999</v>
      </c>
      <c r="AP288">
        <f t="shared" si="29"/>
        <v>999999999999</v>
      </c>
      <c r="AQ288">
        <f t="shared" si="28"/>
        <v>999999999999</v>
      </c>
      <c r="AR288">
        <f t="shared" si="32"/>
        <v>0</v>
      </c>
    </row>
    <row r="289" spans="25:44">
      <c r="Y289" t="str">
        <f>IF('09 - ADOPTION &amp; BENEFITS'!A11&lt;&gt;"",IF('09 - ADOPTION &amp; BENEFITS'!F11="","",'09 - ADOPTION &amp; BENEFITS'!F11),"")</f>
        <v/>
      </c>
      <c r="Z289" t="str">
        <f>IF('09 - ADOPTION &amp; BENEFITS'!A11&lt;&gt;"","Adoption","")</f>
        <v/>
      </c>
      <c r="AA289" t="str">
        <f>IF('09 - ADOPTION &amp; BENEFITS'!A11&lt;&gt;"",IF('09 - ADOPTION &amp; BENEFITS'!A11="","",'09 - ADOPTION &amp; BENEFITS'!A11),"")</f>
        <v/>
      </c>
      <c r="AB289" t="str">
        <f>IF('09 - ADOPTION &amp; BENEFITS'!A11&lt;&gt;"",IF('09 - ADOPTION &amp; BENEFITS'!B11="","",'09 - ADOPTION &amp; BENEFITS'!B11),"")</f>
        <v/>
      </c>
      <c r="AC289" t="str">
        <f>IF('09 - ADOPTION &amp; BENEFITS'!A11&lt;&gt;"",IF('09 - ADOPTION &amp; BENEFITS'!G11="","",'09 - ADOPTION &amp; BENEFITS'!G11),"")</f>
        <v/>
      </c>
      <c r="AD289" t="str">
        <f>IF('09 - ADOPTION &amp; BENEFITS'!A11&lt;&gt;"",IF('09 - ADOPTION &amp; BENEFITS'!H11="","",'09 - ADOPTION &amp; BENEFITS'!H11),"")</f>
        <v/>
      </c>
      <c r="AE289" t="str">
        <f>IF('09 - ADOPTION &amp; BENEFITS'!A11&lt;&gt;"",IF('09 - ADOPTION &amp; BENEFITS'!D11="","",'09 - ADOPTION &amp; BENEFITS'!D11),"")</f>
        <v/>
      </c>
      <c r="AF289" s="17" t="str">
        <f>IF('09 - ADOPTION &amp; BENEFITS'!A11&lt;&gt;"",IF('09 - ADOPTION &amp; BENEFITS'!E11="","",'09 - ADOPTION &amp; BENEFITS'!E11),"")</f>
        <v/>
      </c>
      <c r="AG289" t="str">
        <f>IF('09 - ADOPTION &amp; BENEFITS'!A11&lt;&gt;"",IF('09 - ADOPTION &amp; BENEFITS'!I11="","",'09 - ADOPTION &amp; BENEFITS'!I11),"")</f>
        <v/>
      </c>
      <c r="AH289" t="str">
        <f>IF('09 - ADOPTION &amp; BENEFITS'!A11&lt;&gt;"",IF('09 - ADOPTION &amp; BENEFITS'!J11="","",'09 - ADOPTION &amp; BENEFITS'!J11),"")</f>
        <v/>
      </c>
      <c r="AI289" t="str">
        <f>IF('09 - ADOPTION &amp; BENEFITS'!A11&lt;&gt;"",IF('09 - ADOPTION &amp; BENEFITS'!C11="","",'09 - ADOPTION &amp; BENEFITS'!C11),"")</f>
        <v/>
      </c>
      <c r="AJ289" t="str">
        <f>IF('09 - ADOPTION &amp; BENEFITS'!A11&lt;&gt;"","09 - ADOPTION &amp; BENEFITS row 11","")</f>
        <v/>
      </c>
      <c r="AK289">
        <f>IF(AND('09 - ADOPTION &amp; BENEFITS'!A11&lt;&gt;"",OR('09 - ADOPTION &amp; BENEFITS'!C11&lt;&gt;"Closed",'09 - ADOPTION &amp; BENEFITS'!G11&lt;&gt;""),OR(AC289&lt;&gt;"",AD289&lt;&gt;"")),IF(Y289="Critical",1,IF(Y289="Review",2,3))*100000000+IF(ISNUMBER(AF289),AF289,99999)*1000+ROW(),999999999999)</f>
        <v>999999999999</v>
      </c>
      <c r="AL289">
        <f t="shared" si="30"/>
        <v>999999999999</v>
      </c>
      <c r="AM289">
        <f t="shared" si="27"/>
        <v>999999999999</v>
      </c>
      <c r="AN289">
        <f t="shared" si="33"/>
        <v>999999999999</v>
      </c>
      <c r="AO289">
        <f t="shared" si="31"/>
        <v>999999999999</v>
      </c>
      <c r="AP289">
        <f t="shared" si="29"/>
        <v>999999999999</v>
      </c>
      <c r="AQ289">
        <f t="shared" si="28"/>
        <v>999999999999</v>
      </c>
      <c r="AR289">
        <f t="shared" si="32"/>
        <v>0</v>
      </c>
    </row>
    <row r="290" spans="25:44">
      <c r="Y290" t="str">
        <f>IF('09 - ADOPTION &amp; BENEFITS'!A12&lt;&gt;"",IF('09 - ADOPTION &amp; BENEFITS'!F12="","",'09 - ADOPTION &amp; BENEFITS'!F12),"")</f>
        <v/>
      </c>
      <c r="Z290" t="str">
        <f>IF('09 - ADOPTION &amp; BENEFITS'!A12&lt;&gt;"","Adoption","")</f>
        <v/>
      </c>
      <c r="AA290" t="str">
        <f>IF('09 - ADOPTION &amp; BENEFITS'!A12&lt;&gt;"",IF('09 - ADOPTION &amp; BENEFITS'!A12="","",'09 - ADOPTION &amp; BENEFITS'!A12),"")</f>
        <v/>
      </c>
      <c r="AB290" t="str">
        <f>IF('09 - ADOPTION &amp; BENEFITS'!A12&lt;&gt;"",IF('09 - ADOPTION &amp; BENEFITS'!B12="","",'09 - ADOPTION &amp; BENEFITS'!B12),"")</f>
        <v/>
      </c>
      <c r="AC290" t="str">
        <f>IF('09 - ADOPTION &amp; BENEFITS'!A12&lt;&gt;"",IF('09 - ADOPTION &amp; BENEFITS'!G12="","",'09 - ADOPTION &amp; BENEFITS'!G12),"")</f>
        <v/>
      </c>
      <c r="AD290" t="str">
        <f>IF('09 - ADOPTION &amp; BENEFITS'!A12&lt;&gt;"",IF('09 - ADOPTION &amp; BENEFITS'!H12="","",'09 - ADOPTION &amp; BENEFITS'!H12),"")</f>
        <v/>
      </c>
      <c r="AE290" t="str">
        <f>IF('09 - ADOPTION &amp; BENEFITS'!A12&lt;&gt;"",IF('09 - ADOPTION &amp; BENEFITS'!D12="","",'09 - ADOPTION &amp; BENEFITS'!D12),"")</f>
        <v/>
      </c>
      <c r="AF290" s="17" t="str">
        <f>IF('09 - ADOPTION &amp; BENEFITS'!A12&lt;&gt;"",IF('09 - ADOPTION &amp; BENEFITS'!E12="","",'09 - ADOPTION &amp; BENEFITS'!E12),"")</f>
        <v/>
      </c>
      <c r="AG290" t="str">
        <f>IF('09 - ADOPTION &amp; BENEFITS'!A12&lt;&gt;"",IF('09 - ADOPTION &amp; BENEFITS'!I12="","",'09 - ADOPTION &amp; BENEFITS'!I12),"")</f>
        <v/>
      </c>
      <c r="AH290" t="str">
        <f>IF('09 - ADOPTION &amp; BENEFITS'!A12&lt;&gt;"",IF('09 - ADOPTION &amp; BENEFITS'!J12="","",'09 - ADOPTION &amp; BENEFITS'!J12),"")</f>
        <v/>
      </c>
      <c r="AI290" t="str">
        <f>IF('09 - ADOPTION &amp; BENEFITS'!A12&lt;&gt;"",IF('09 - ADOPTION &amp; BENEFITS'!C12="","",'09 - ADOPTION &amp; BENEFITS'!C12),"")</f>
        <v/>
      </c>
      <c r="AJ290" t="str">
        <f>IF('09 - ADOPTION &amp; BENEFITS'!A12&lt;&gt;"","09 - ADOPTION &amp; BENEFITS row 12","")</f>
        <v/>
      </c>
      <c r="AK290">
        <f>IF(AND('09 - ADOPTION &amp; BENEFITS'!A12&lt;&gt;"",OR('09 - ADOPTION &amp; BENEFITS'!C12&lt;&gt;"Closed",'09 - ADOPTION &amp; BENEFITS'!G12&lt;&gt;""),OR(AC290&lt;&gt;"",AD290&lt;&gt;"")),IF(Y290="Critical",1,IF(Y290="Review",2,3))*100000000+IF(ISNUMBER(AF290),AF290,99999)*1000+ROW(),999999999999)</f>
        <v>999999999999</v>
      </c>
      <c r="AL290">
        <f t="shared" si="30"/>
        <v>999999999999</v>
      </c>
      <c r="AM290">
        <f t="shared" si="27"/>
        <v>999999999999</v>
      </c>
      <c r="AN290">
        <f t="shared" si="33"/>
        <v>999999999999</v>
      </c>
      <c r="AO290">
        <f t="shared" si="31"/>
        <v>999999999999</v>
      </c>
      <c r="AP290">
        <f t="shared" si="29"/>
        <v>999999999999</v>
      </c>
      <c r="AQ290">
        <f t="shared" si="28"/>
        <v>999999999999</v>
      </c>
      <c r="AR290">
        <f t="shared" si="32"/>
        <v>0</v>
      </c>
    </row>
    <row r="291" spans="25:44">
      <c r="Y291" t="str">
        <f>IF('09 - ADOPTION &amp; BENEFITS'!A13&lt;&gt;"",IF('09 - ADOPTION &amp; BENEFITS'!F13="","",'09 - ADOPTION &amp; BENEFITS'!F13),"")</f>
        <v/>
      </c>
      <c r="Z291" t="str">
        <f>IF('09 - ADOPTION &amp; BENEFITS'!A13&lt;&gt;"","Adoption","")</f>
        <v/>
      </c>
      <c r="AA291" t="str">
        <f>IF('09 - ADOPTION &amp; BENEFITS'!A13&lt;&gt;"",IF('09 - ADOPTION &amp; BENEFITS'!A13="","",'09 - ADOPTION &amp; BENEFITS'!A13),"")</f>
        <v/>
      </c>
      <c r="AB291" t="str">
        <f>IF('09 - ADOPTION &amp; BENEFITS'!A13&lt;&gt;"",IF('09 - ADOPTION &amp; BENEFITS'!B13="","",'09 - ADOPTION &amp; BENEFITS'!B13),"")</f>
        <v/>
      </c>
      <c r="AC291" t="str">
        <f>IF('09 - ADOPTION &amp; BENEFITS'!A13&lt;&gt;"",IF('09 - ADOPTION &amp; BENEFITS'!G13="","",'09 - ADOPTION &amp; BENEFITS'!G13),"")</f>
        <v/>
      </c>
      <c r="AD291" t="str">
        <f>IF('09 - ADOPTION &amp; BENEFITS'!A13&lt;&gt;"",IF('09 - ADOPTION &amp; BENEFITS'!H13="","",'09 - ADOPTION &amp; BENEFITS'!H13),"")</f>
        <v/>
      </c>
      <c r="AE291" t="str">
        <f>IF('09 - ADOPTION &amp; BENEFITS'!A13&lt;&gt;"",IF('09 - ADOPTION &amp; BENEFITS'!D13="","",'09 - ADOPTION &amp; BENEFITS'!D13),"")</f>
        <v/>
      </c>
      <c r="AF291" s="17" t="str">
        <f>IF('09 - ADOPTION &amp; BENEFITS'!A13&lt;&gt;"",IF('09 - ADOPTION &amp; BENEFITS'!E13="","",'09 - ADOPTION &amp; BENEFITS'!E13),"")</f>
        <v/>
      </c>
      <c r="AG291" t="str">
        <f>IF('09 - ADOPTION &amp; BENEFITS'!A13&lt;&gt;"",IF('09 - ADOPTION &amp; BENEFITS'!I13="","",'09 - ADOPTION &amp; BENEFITS'!I13),"")</f>
        <v/>
      </c>
      <c r="AH291" t="str">
        <f>IF('09 - ADOPTION &amp; BENEFITS'!A13&lt;&gt;"",IF('09 - ADOPTION &amp; BENEFITS'!J13="","",'09 - ADOPTION &amp; BENEFITS'!J13),"")</f>
        <v/>
      </c>
      <c r="AI291" t="str">
        <f>IF('09 - ADOPTION &amp; BENEFITS'!A13&lt;&gt;"",IF('09 - ADOPTION &amp; BENEFITS'!C13="","",'09 - ADOPTION &amp; BENEFITS'!C13),"")</f>
        <v/>
      </c>
      <c r="AJ291" t="str">
        <f>IF('09 - ADOPTION &amp; BENEFITS'!A13&lt;&gt;"","09 - ADOPTION &amp; BENEFITS row 13","")</f>
        <v/>
      </c>
      <c r="AK291">
        <f>IF(AND('09 - ADOPTION &amp; BENEFITS'!A13&lt;&gt;"",OR('09 - ADOPTION &amp; BENEFITS'!C13&lt;&gt;"Closed",'09 - ADOPTION &amp; BENEFITS'!G13&lt;&gt;""),OR(AC291&lt;&gt;"",AD291&lt;&gt;"")),IF(Y291="Critical",1,IF(Y291="Review",2,3))*100000000+IF(ISNUMBER(AF291),AF291,99999)*1000+ROW(),999999999999)</f>
        <v>999999999999</v>
      </c>
      <c r="AL291">
        <f t="shared" si="30"/>
        <v>999999999999</v>
      </c>
      <c r="AM291">
        <f t="shared" si="27"/>
        <v>999999999999</v>
      </c>
      <c r="AN291">
        <f t="shared" si="33"/>
        <v>999999999999</v>
      </c>
      <c r="AO291">
        <f t="shared" si="31"/>
        <v>999999999999</v>
      </c>
      <c r="AP291">
        <f t="shared" si="29"/>
        <v>999999999999</v>
      </c>
      <c r="AQ291">
        <f t="shared" si="28"/>
        <v>999999999999</v>
      </c>
      <c r="AR291">
        <f t="shared" si="32"/>
        <v>0</v>
      </c>
    </row>
    <row r="292" spans="25:44">
      <c r="Y292" t="str">
        <f>IF('09 - ADOPTION &amp; BENEFITS'!A14&lt;&gt;"",IF('09 - ADOPTION &amp; BENEFITS'!F14="","",'09 - ADOPTION &amp; BENEFITS'!F14),"")</f>
        <v/>
      </c>
      <c r="Z292" t="str">
        <f>IF('09 - ADOPTION &amp; BENEFITS'!A14&lt;&gt;"","Adoption","")</f>
        <v/>
      </c>
      <c r="AA292" t="str">
        <f>IF('09 - ADOPTION &amp; BENEFITS'!A14&lt;&gt;"",IF('09 - ADOPTION &amp; BENEFITS'!A14="","",'09 - ADOPTION &amp; BENEFITS'!A14),"")</f>
        <v/>
      </c>
      <c r="AB292" t="str">
        <f>IF('09 - ADOPTION &amp; BENEFITS'!A14&lt;&gt;"",IF('09 - ADOPTION &amp; BENEFITS'!B14="","",'09 - ADOPTION &amp; BENEFITS'!B14),"")</f>
        <v/>
      </c>
      <c r="AC292" t="str">
        <f>IF('09 - ADOPTION &amp; BENEFITS'!A14&lt;&gt;"",IF('09 - ADOPTION &amp; BENEFITS'!G14="","",'09 - ADOPTION &amp; BENEFITS'!G14),"")</f>
        <v/>
      </c>
      <c r="AD292" t="str">
        <f>IF('09 - ADOPTION &amp; BENEFITS'!A14&lt;&gt;"",IF('09 - ADOPTION &amp; BENEFITS'!H14="","",'09 - ADOPTION &amp; BENEFITS'!H14),"")</f>
        <v/>
      </c>
      <c r="AE292" t="str">
        <f>IF('09 - ADOPTION &amp; BENEFITS'!A14&lt;&gt;"",IF('09 - ADOPTION &amp; BENEFITS'!D14="","",'09 - ADOPTION &amp; BENEFITS'!D14),"")</f>
        <v/>
      </c>
      <c r="AF292" s="17" t="str">
        <f>IF('09 - ADOPTION &amp; BENEFITS'!A14&lt;&gt;"",IF('09 - ADOPTION &amp; BENEFITS'!E14="","",'09 - ADOPTION &amp; BENEFITS'!E14),"")</f>
        <v/>
      </c>
      <c r="AG292" t="str">
        <f>IF('09 - ADOPTION &amp; BENEFITS'!A14&lt;&gt;"",IF('09 - ADOPTION &amp; BENEFITS'!I14="","",'09 - ADOPTION &amp; BENEFITS'!I14),"")</f>
        <v/>
      </c>
      <c r="AH292" t="str">
        <f>IF('09 - ADOPTION &amp; BENEFITS'!A14&lt;&gt;"",IF('09 - ADOPTION &amp; BENEFITS'!J14="","",'09 - ADOPTION &amp; BENEFITS'!J14),"")</f>
        <v/>
      </c>
      <c r="AI292" t="str">
        <f>IF('09 - ADOPTION &amp; BENEFITS'!A14&lt;&gt;"",IF('09 - ADOPTION &amp; BENEFITS'!C14="","",'09 - ADOPTION &amp; BENEFITS'!C14),"")</f>
        <v/>
      </c>
      <c r="AJ292" t="str">
        <f>IF('09 - ADOPTION &amp; BENEFITS'!A14&lt;&gt;"","09 - ADOPTION &amp; BENEFITS row 14","")</f>
        <v/>
      </c>
      <c r="AK292">
        <f>IF(AND('09 - ADOPTION &amp; BENEFITS'!A14&lt;&gt;"",OR('09 - ADOPTION &amp; BENEFITS'!C14&lt;&gt;"Closed",'09 - ADOPTION &amp; BENEFITS'!G14&lt;&gt;""),OR(AC292&lt;&gt;"",AD292&lt;&gt;"")),IF(Y292="Critical",1,IF(Y292="Review",2,3))*100000000+IF(ISNUMBER(AF292),AF292,99999)*1000+ROW(),999999999999)</f>
        <v>999999999999</v>
      </c>
      <c r="AL292">
        <f t="shared" si="30"/>
        <v>999999999999</v>
      </c>
      <c r="AM292">
        <f t="shared" si="27"/>
        <v>999999999999</v>
      </c>
      <c r="AN292">
        <f t="shared" si="33"/>
        <v>999999999999</v>
      </c>
      <c r="AO292">
        <f t="shared" si="31"/>
        <v>999999999999</v>
      </c>
      <c r="AP292">
        <f t="shared" si="29"/>
        <v>999999999999</v>
      </c>
      <c r="AQ292">
        <f t="shared" si="28"/>
        <v>999999999999</v>
      </c>
      <c r="AR292">
        <f t="shared" si="32"/>
        <v>0</v>
      </c>
    </row>
    <row r="293" spans="25:44">
      <c r="Y293" t="str">
        <f>IF('09 - ADOPTION &amp; BENEFITS'!A15&lt;&gt;"",IF('09 - ADOPTION &amp; BENEFITS'!F15="","",'09 - ADOPTION &amp; BENEFITS'!F15),"")</f>
        <v/>
      </c>
      <c r="Z293" t="str">
        <f>IF('09 - ADOPTION &amp; BENEFITS'!A15&lt;&gt;"","Adoption","")</f>
        <v/>
      </c>
      <c r="AA293" t="str">
        <f>IF('09 - ADOPTION &amp; BENEFITS'!A15&lt;&gt;"",IF('09 - ADOPTION &amp; BENEFITS'!A15="","",'09 - ADOPTION &amp; BENEFITS'!A15),"")</f>
        <v/>
      </c>
      <c r="AB293" t="str">
        <f>IF('09 - ADOPTION &amp; BENEFITS'!A15&lt;&gt;"",IF('09 - ADOPTION &amp; BENEFITS'!B15="","",'09 - ADOPTION &amp; BENEFITS'!B15),"")</f>
        <v/>
      </c>
      <c r="AC293" t="str">
        <f>IF('09 - ADOPTION &amp; BENEFITS'!A15&lt;&gt;"",IF('09 - ADOPTION &amp; BENEFITS'!G15="","",'09 - ADOPTION &amp; BENEFITS'!G15),"")</f>
        <v/>
      </c>
      <c r="AD293" t="str">
        <f>IF('09 - ADOPTION &amp; BENEFITS'!A15&lt;&gt;"",IF('09 - ADOPTION &amp; BENEFITS'!H15="","",'09 - ADOPTION &amp; BENEFITS'!H15),"")</f>
        <v/>
      </c>
      <c r="AE293" t="str">
        <f>IF('09 - ADOPTION &amp; BENEFITS'!A15&lt;&gt;"",IF('09 - ADOPTION &amp; BENEFITS'!D15="","",'09 - ADOPTION &amp; BENEFITS'!D15),"")</f>
        <v/>
      </c>
      <c r="AF293" s="17" t="str">
        <f>IF('09 - ADOPTION &amp; BENEFITS'!A15&lt;&gt;"",IF('09 - ADOPTION &amp; BENEFITS'!E15="","",'09 - ADOPTION &amp; BENEFITS'!E15),"")</f>
        <v/>
      </c>
      <c r="AG293" t="str">
        <f>IF('09 - ADOPTION &amp; BENEFITS'!A15&lt;&gt;"",IF('09 - ADOPTION &amp; BENEFITS'!I15="","",'09 - ADOPTION &amp; BENEFITS'!I15),"")</f>
        <v/>
      </c>
      <c r="AH293" t="str">
        <f>IF('09 - ADOPTION &amp; BENEFITS'!A15&lt;&gt;"",IF('09 - ADOPTION &amp; BENEFITS'!J15="","",'09 - ADOPTION &amp; BENEFITS'!J15),"")</f>
        <v/>
      </c>
      <c r="AI293" t="str">
        <f>IF('09 - ADOPTION &amp; BENEFITS'!A15&lt;&gt;"",IF('09 - ADOPTION &amp; BENEFITS'!C15="","",'09 - ADOPTION &amp; BENEFITS'!C15),"")</f>
        <v/>
      </c>
      <c r="AJ293" t="str">
        <f>IF('09 - ADOPTION &amp; BENEFITS'!A15&lt;&gt;"","09 - ADOPTION &amp; BENEFITS row 15","")</f>
        <v/>
      </c>
      <c r="AK293">
        <f>IF(AND('09 - ADOPTION &amp; BENEFITS'!A15&lt;&gt;"",OR('09 - ADOPTION &amp; BENEFITS'!C15&lt;&gt;"Closed",'09 - ADOPTION &amp; BENEFITS'!G15&lt;&gt;""),OR(AC293&lt;&gt;"",AD293&lt;&gt;"")),IF(Y293="Critical",1,IF(Y293="Review",2,3))*100000000+IF(ISNUMBER(AF293),AF293,99999)*1000+ROW(),999999999999)</f>
        <v>999999999999</v>
      </c>
      <c r="AL293">
        <f t="shared" si="30"/>
        <v>999999999999</v>
      </c>
      <c r="AM293">
        <f t="shared" ref="AM293:AM356" si="34">IF(AND(ISNUMBER(AK293),OR(Z293="Assurance",AND(Z293="Adoption",AC293&lt;&gt;""),FALSE)),AK293,999999999999)</f>
        <v>999999999999</v>
      </c>
      <c r="AN293">
        <f t="shared" si="33"/>
        <v>999999999999</v>
      </c>
      <c r="AO293">
        <f t="shared" si="31"/>
        <v>999999999999</v>
      </c>
      <c r="AP293">
        <f t="shared" si="29"/>
        <v>999999999999</v>
      </c>
      <c r="AQ293">
        <f t="shared" si="28"/>
        <v>999999999999</v>
      </c>
      <c r="AR293">
        <f t="shared" si="32"/>
        <v>0</v>
      </c>
    </row>
    <row r="294" spans="25:44">
      <c r="Y294" t="str">
        <f>IF('09 - ADOPTION &amp; BENEFITS'!A16&lt;&gt;"",IF('09 - ADOPTION &amp; BENEFITS'!F16="","",'09 - ADOPTION &amp; BENEFITS'!F16),"")</f>
        <v/>
      </c>
      <c r="Z294" t="str">
        <f>IF('09 - ADOPTION &amp; BENEFITS'!A16&lt;&gt;"","Adoption","")</f>
        <v/>
      </c>
      <c r="AA294" t="str">
        <f>IF('09 - ADOPTION &amp; BENEFITS'!A16&lt;&gt;"",IF('09 - ADOPTION &amp; BENEFITS'!A16="","",'09 - ADOPTION &amp; BENEFITS'!A16),"")</f>
        <v/>
      </c>
      <c r="AB294" t="str">
        <f>IF('09 - ADOPTION &amp; BENEFITS'!A16&lt;&gt;"",IF('09 - ADOPTION &amp; BENEFITS'!B16="","",'09 - ADOPTION &amp; BENEFITS'!B16),"")</f>
        <v/>
      </c>
      <c r="AC294" t="str">
        <f>IF('09 - ADOPTION &amp; BENEFITS'!A16&lt;&gt;"",IF('09 - ADOPTION &amp; BENEFITS'!G16="","",'09 - ADOPTION &amp; BENEFITS'!G16),"")</f>
        <v/>
      </c>
      <c r="AD294" t="str">
        <f>IF('09 - ADOPTION &amp; BENEFITS'!A16&lt;&gt;"",IF('09 - ADOPTION &amp; BENEFITS'!H16="","",'09 - ADOPTION &amp; BENEFITS'!H16),"")</f>
        <v/>
      </c>
      <c r="AE294" t="str">
        <f>IF('09 - ADOPTION &amp; BENEFITS'!A16&lt;&gt;"",IF('09 - ADOPTION &amp; BENEFITS'!D16="","",'09 - ADOPTION &amp; BENEFITS'!D16),"")</f>
        <v/>
      </c>
      <c r="AF294" s="17" t="str">
        <f>IF('09 - ADOPTION &amp; BENEFITS'!A16&lt;&gt;"",IF('09 - ADOPTION &amp; BENEFITS'!E16="","",'09 - ADOPTION &amp; BENEFITS'!E16),"")</f>
        <v/>
      </c>
      <c r="AG294" t="str">
        <f>IF('09 - ADOPTION &amp; BENEFITS'!A16&lt;&gt;"",IF('09 - ADOPTION &amp; BENEFITS'!I16="","",'09 - ADOPTION &amp; BENEFITS'!I16),"")</f>
        <v/>
      </c>
      <c r="AH294" t="str">
        <f>IF('09 - ADOPTION &amp; BENEFITS'!A16&lt;&gt;"",IF('09 - ADOPTION &amp; BENEFITS'!J16="","",'09 - ADOPTION &amp; BENEFITS'!J16),"")</f>
        <v/>
      </c>
      <c r="AI294" t="str">
        <f>IF('09 - ADOPTION &amp; BENEFITS'!A16&lt;&gt;"",IF('09 - ADOPTION &amp; BENEFITS'!C16="","",'09 - ADOPTION &amp; BENEFITS'!C16),"")</f>
        <v/>
      </c>
      <c r="AJ294" t="str">
        <f>IF('09 - ADOPTION &amp; BENEFITS'!A16&lt;&gt;"","09 - ADOPTION &amp; BENEFITS row 16","")</f>
        <v/>
      </c>
      <c r="AK294">
        <f>IF(AND('09 - ADOPTION &amp; BENEFITS'!A16&lt;&gt;"",OR('09 - ADOPTION &amp; BENEFITS'!C16&lt;&gt;"Closed",'09 - ADOPTION &amp; BENEFITS'!G16&lt;&gt;""),OR(AC294&lt;&gt;"",AD294&lt;&gt;"")),IF(Y294="Critical",1,IF(Y294="Review",2,3))*100000000+IF(ISNUMBER(AF294),AF294,99999)*1000+ROW(),999999999999)</f>
        <v>999999999999</v>
      </c>
      <c r="AL294">
        <f t="shared" si="30"/>
        <v>999999999999</v>
      </c>
      <c r="AM294">
        <f t="shared" si="34"/>
        <v>999999999999</v>
      </c>
      <c r="AN294">
        <f t="shared" si="33"/>
        <v>999999999999</v>
      </c>
      <c r="AO294">
        <f t="shared" si="31"/>
        <v>999999999999</v>
      </c>
      <c r="AP294">
        <f t="shared" si="29"/>
        <v>999999999999</v>
      </c>
      <c r="AQ294">
        <f t="shared" si="28"/>
        <v>999999999999</v>
      </c>
      <c r="AR294">
        <f t="shared" si="32"/>
        <v>0</v>
      </c>
    </row>
    <row r="295" spans="25:44">
      <c r="Y295" t="str">
        <f>IF('09 - ADOPTION &amp; BENEFITS'!A17&lt;&gt;"",IF('09 - ADOPTION &amp; BENEFITS'!F17="","",'09 - ADOPTION &amp; BENEFITS'!F17),"")</f>
        <v/>
      </c>
      <c r="Z295" t="str">
        <f>IF('09 - ADOPTION &amp; BENEFITS'!A17&lt;&gt;"","Adoption","")</f>
        <v/>
      </c>
      <c r="AA295" t="str">
        <f>IF('09 - ADOPTION &amp; BENEFITS'!A17&lt;&gt;"",IF('09 - ADOPTION &amp; BENEFITS'!A17="","",'09 - ADOPTION &amp; BENEFITS'!A17),"")</f>
        <v/>
      </c>
      <c r="AB295" t="str">
        <f>IF('09 - ADOPTION &amp; BENEFITS'!A17&lt;&gt;"",IF('09 - ADOPTION &amp; BENEFITS'!B17="","",'09 - ADOPTION &amp; BENEFITS'!B17),"")</f>
        <v/>
      </c>
      <c r="AC295" t="str">
        <f>IF('09 - ADOPTION &amp; BENEFITS'!A17&lt;&gt;"",IF('09 - ADOPTION &amp; BENEFITS'!G17="","",'09 - ADOPTION &amp; BENEFITS'!G17),"")</f>
        <v/>
      </c>
      <c r="AD295" t="str">
        <f>IF('09 - ADOPTION &amp; BENEFITS'!A17&lt;&gt;"",IF('09 - ADOPTION &amp; BENEFITS'!H17="","",'09 - ADOPTION &amp; BENEFITS'!H17),"")</f>
        <v/>
      </c>
      <c r="AE295" t="str">
        <f>IF('09 - ADOPTION &amp; BENEFITS'!A17&lt;&gt;"",IF('09 - ADOPTION &amp; BENEFITS'!D17="","",'09 - ADOPTION &amp; BENEFITS'!D17),"")</f>
        <v/>
      </c>
      <c r="AF295" s="17" t="str">
        <f>IF('09 - ADOPTION &amp; BENEFITS'!A17&lt;&gt;"",IF('09 - ADOPTION &amp; BENEFITS'!E17="","",'09 - ADOPTION &amp; BENEFITS'!E17),"")</f>
        <v/>
      </c>
      <c r="AG295" t="str">
        <f>IF('09 - ADOPTION &amp; BENEFITS'!A17&lt;&gt;"",IF('09 - ADOPTION &amp; BENEFITS'!I17="","",'09 - ADOPTION &amp; BENEFITS'!I17),"")</f>
        <v/>
      </c>
      <c r="AH295" t="str">
        <f>IF('09 - ADOPTION &amp; BENEFITS'!A17&lt;&gt;"",IF('09 - ADOPTION &amp; BENEFITS'!J17="","",'09 - ADOPTION &amp; BENEFITS'!J17),"")</f>
        <v/>
      </c>
      <c r="AI295" t="str">
        <f>IF('09 - ADOPTION &amp; BENEFITS'!A17&lt;&gt;"",IF('09 - ADOPTION &amp; BENEFITS'!C17="","",'09 - ADOPTION &amp; BENEFITS'!C17),"")</f>
        <v/>
      </c>
      <c r="AJ295" t="str">
        <f>IF('09 - ADOPTION &amp; BENEFITS'!A17&lt;&gt;"","09 - ADOPTION &amp; BENEFITS row 17","")</f>
        <v/>
      </c>
      <c r="AK295">
        <f>IF(AND('09 - ADOPTION &amp; BENEFITS'!A17&lt;&gt;"",OR('09 - ADOPTION &amp; BENEFITS'!C17&lt;&gt;"Closed",'09 - ADOPTION &amp; BENEFITS'!G17&lt;&gt;""),OR(AC295&lt;&gt;"",AD295&lt;&gt;"")),IF(Y295="Critical",1,IF(Y295="Review",2,3))*100000000+IF(ISNUMBER(AF295),AF295,99999)*1000+ROW(),999999999999)</f>
        <v>999999999999</v>
      </c>
      <c r="AL295">
        <f t="shared" si="30"/>
        <v>999999999999</v>
      </c>
      <c r="AM295">
        <f t="shared" si="34"/>
        <v>999999999999</v>
      </c>
      <c r="AN295">
        <f t="shared" si="33"/>
        <v>999999999999</v>
      </c>
      <c r="AO295">
        <f t="shared" si="31"/>
        <v>999999999999</v>
      </c>
      <c r="AP295">
        <f t="shared" si="29"/>
        <v>999999999999</v>
      </c>
      <c r="AQ295">
        <f t="shared" si="28"/>
        <v>999999999999</v>
      </c>
      <c r="AR295">
        <f t="shared" si="32"/>
        <v>0</v>
      </c>
    </row>
    <row r="296" spans="25:44">
      <c r="Y296" t="str">
        <f>IF('09 - ADOPTION &amp; BENEFITS'!A18&lt;&gt;"",IF('09 - ADOPTION &amp; BENEFITS'!F18="","",'09 - ADOPTION &amp; BENEFITS'!F18),"")</f>
        <v/>
      </c>
      <c r="Z296" t="str">
        <f>IF('09 - ADOPTION &amp; BENEFITS'!A18&lt;&gt;"","Adoption","")</f>
        <v/>
      </c>
      <c r="AA296" t="str">
        <f>IF('09 - ADOPTION &amp; BENEFITS'!A18&lt;&gt;"",IF('09 - ADOPTION &amp; BENEFITS'!A18="","",'09 - ADOPTION &amp; BENEFITS'!A18),"")</f>
        <v/>
      </c>
      <c r="AB296" t="str">
        <f>IF('09 - ADOPTION &amp; BENEFITS'!A18&lt;&gt;"",IF('09 - ADOPTION &amp; BENEFITS'!B18="","",'09 - ADOPTION &amp; BENEFITS'!B18),"")</f>
        <v/>
      </c>
      <c r="AC296" t="str">
        <f>IF('09 - ADOPTION &amp; BENEFITS'!A18&lt;&gt;"",IF('09 - ADOPTION &amp; BENEFITS'!G18="","",'09 - ADOPTION &amp; BENEFITS'!G18),"")</f>
        <v/>
      </c>
      <c r="AD296" t="str">
        <f>IF('09 - ADOPTION &amp; BENEFITS'!A18&lt;&gt;"",IF('09 - ADOPTION &amp; BENEFITS'!H18="","",'09 - ADOPTION &amp; BENEFITS'!H18),"")</f>
        <v/>
      </c>
      <c r="AE296" t="str">
        <f>IF('09 - ADOPTION &amp; BENEFITS'!A18&lt;&gt;"",IF('09 - ADOPTION &amp; BENEFITS'!D18="","",'09 - ADOPTION &amp; BENEFITS'!D18),"")</f>
        <v/>
      </c>
      <c r="AF296" s="17" t="str">
        <f>IF('09 - ADOPTION &amp; BENEFITS'!A18&lt;&gt;"",IF('09 - ADOPTION &amp; BENEFITS'!E18="","",'09 - ADOPTION &amp; BENEFITS'!E18),"")</f>
        <v/>
      </c>
      <c r="AG296" t="str">
        <f>IF('09 - ADOPTION &amp; BENEFITS'!A18&lt;&gt;"",IF('09 - ADOPTION &amp; BENEFITS'!I18="","",'09 - ADOPTION &amp; BENEFITS'!I18),"")</f>
        <v/>
      </c>
      <c r="AH296" t="str">
        <f>IF('09 - ADOPTION &amp; BENEFITS'!A18&lt;&gt;"",IF('09 - ADOPTION &amp; BENEFITS'!J18="","",'09 - ADOPTION &amp; BENEFITS'!J18),"")</f>
        <v/>
      </c>
      <c r="AI296" t="str">
        <f>IF('09 - ADOPTION &amp; BENEFITS'!A18&lt;&gt;"",IF('09 - ADOPTION &amp; BENEFITS'!C18="","",'09 - ADOPTION &amp; BENEFITS'!C18),"")</f>
        <v/>
      </c>
      <c r="AJ296" t="str">
        <f>IF('09 - ADOPTION &amp; BENEFITS'!A18&lt;&gt;"","09 - ADOPTION &amp; BENEFITS row 18","")</f>
        <v/>
      </c>
      <c r="AK296">
        <f>IF(AND('09 - ADOPTION &amp; BENEFITS'!A18&lt;&gt;"",OR('09 - ADOPTION &amp; BENEFITS'!C18&lt;&gt;"Closed",'09 - ADOPTION &amp; BENEFITS'!G18&lt;&gt;""),OR(AC296&lt;&gt;"",AD296&lt;&gt;"")),IF(Y296="Critical",1,IF(Y296="Review",2,3))*100000000+IF(ISNUMBER(AF296),AF296,99999)*1000+ROW(),999999999999)</f>
        <v>999999999999</v>
      </c>
      <c r="AL296">
        <f t="shared" si="30"/>
        <v>999999999999</v>
      </c>
      <c r="AM296">
        <f t="shared" si="34"/>
        <v>999999999999</v>
      </c>
      <c r="AN296">
        <f t="shared" si="33"/>
        <v>999999999999</v>
      </c>
      <c r="AO296">
        <f t="shared" si="31"/>
        <v>999999999999</v>
      </c>
      <c r="AP296">
        <f t="shared" si="29"/>
        <v>999999999999</v>
      </c>
      <c r="AQ296">
        <f t="shared" si="28"/>
        <v>999999999999</v>
      </c>
      <c r="AR296">
        <f t="shared" si="32"/>
        <v>0</v>
      </c>
    </row>
    <row r="297" spans="25:44">
      <c r="Y297" t="str">
        <f>IF('09 - ADOPTION &amp; BENEFITS'!A19&lt;&gt;"",IF('09 - ADOPTION &amp; BENEFITS'!F19="","",'09 - ADOPTION &amp; BENEFITS'!F19),"")</f>
        <v/>
      </c>
      <c r="Z297" t="str">
        <f>IF('09 - ADOPTION &amp; BENEFITS'!A19&lt;&gt;"","Adoption","")</f>
        <v/>
      </c>
      <c r="AA297" t="str">
        <f>IF('09 - ADOPTION &amp; BENEFITS'!A19&lt;&gt;"",IF('09 - ADOPTION &amp; BENEFITS'!A19="","",'09 - ADOPTION &amp; BENEFITS'!A19),"")</f>
        <v/>
      </c>
      <c r="AB297" t="str">
        <f>IF('09 - ADOPTION &amp; BENEFITS'!A19&lt;&gt;"",IF('09 - ADOPTION &amp; BENEFITS'!B19="","",'09 - ADOPTION &amp; BENEFITS'!B19),"")</f>
        <v/>
      </c>
      <c r="AC297" t="str">
        <f>IF('09 - ADOPTION &amp; BENEFITS'!A19&lt;&gt;"",IF('09 - ADOPTION &amp; BENEFITS'!G19="","",'09 - ADOPTION &amp; BENEFITS'!G19),"")</f>
        <v/>
      </c>
      <c r="AD297" t="str">
        <f>IF('09 - ADOPTION &amp; BENEFITS'!A19&lt;&gt;"",IF('09 - ADOPTION &amp; BENEFITS'!H19="","",'09 - ADOPTION &amp; BENEFITS'!H19),"")</f>
        <v/>
      </c>
      <c r="AE297" t="str">
        <f>IF('09 - ADOPTION &amp; BENEFITS'!A19&lt;&gt;"",IF('09 - ADOPTION &amp; BENEFITS'!D19="","",'09 - ADOPTION &amp; BENEFITS'!D19),"")</f>
        <v/>
      </c>
      <c r="AF297" s="17" t="str">
        <f>IF('09 - ADOPTION &amp; BENEFITS'!A19&lt;&gt;"",IF('09 - ADOPTION &amp; BENEFITS'!E19="","",'09 - ADOPTION &amp; BENEFITS'!E19),"")</f>
        <v/>
      </c>
      <c r="AG297" t="str">
        <f>IF('09 - ADOPTION &amp; BENEFITS'!A19&lt;&gt;"",IF('09 - ADOPTION &amp; BENEFITS'!I19="","",'09 - ADOPTION &amp; BENEFITS'!I19),"")</f>
        <v/>
      </c>
      <c r="AH297" t="str">
        <f>IF('09 - ADOPTION &amp; BENEFITS'!A19&lt;&gt;"",IF('09 - ADOPTION &amp; BENEFITS'!J19="","",'09 - ADOPTION &amp; BENEFITS'!J19),"")</f>
        <v/>
      </c>
      <c r="AI297" t="str">
        <f>IF('09 - ADOPTION &amp; BENEFITS'!A19&lt;&gt;"",IF('09 - ADOPTION &amp; BENEFITS'!C19="","",'09 - ADOPTION &amp; BENEFITS'!C19),"")</f>
        <v/>
      </c>
      <c r="AJ297" t="str">
        <f>IF('09 - ADOPTION &amp; BENEFITS'!A19&lt;&gt;"","09 - ADOPTION &amp; BENEFITS row 19","")</f>
        <v/>
      </c>
      <c r="AK297">
        <f>IF(AND('09 - ADOPTION &amp; BENEFITS'!A19&lt;&gt;"",OR('09 - ADOPTION &amp; BENEFITS'!C19&lt;&gt;"Closed",'09 - ADOPTION &amp; BENEFITS'!G19&lt;&gt;""),OR(AC297&lt;&gt;"",AD297&lt;&gt;"")),IF(Y297="Critical",1,IF(Y297="Review",2,3))*100000000+IF(ISNUMBER(AF297),AF297,99999)*1000+ROW(),999999999999)</f>
        <v>999999999999</v>
      </c>
      <c r="AL297">
        <f t="shared" si="30"/>
        <v>999999999999</v>
      </c>
      <c r="AM297">
        <f t="shared" si="34"/>
        <v>999999999999</v>
      </c>
      <c r="AN297">
        <f t="shared" si="33"/>
        <v>999999999999</v>
      </c>
      <c r="AO297">
        <f t="shared" si="31"/>
        <v>999999999999</v>
      </c>
      <c r="AP297">
        <f t="shared" si="29"/>
        <v>999999999999</v>
      </c>
      <c r="AQ297">
        <f t="shared" si="28"/>
        <v>999999999999</v>
      </c>
      <c r="AR297">
        <f t="shared" si="32"/>
        <v>0</v>
      </c>
    </row>
    <row r="298" spans="25:44">
      <c r="Y298" t="str">
        <f>IF('09 - ADOPTION &amp; BENEFITS'!A20&lt;&gt;"",IF('09 - ADOPTION &amp; BENEFITS'!F20="","",'09 - ADOPTION &amp; BENEFITS'!F20),"")</f>
        <v/>
      </c>
      <c r="Z298" t="str">
        <f>IF('09 - ADOPTION &amp; BENEFITS'!A20&lt;&gt;"","Adoption","")</f>
        <v/>
      </c>
      <c r="AA298" t="str">
        <f>IF('09 - ADOPTION &amp; BENEFITS'!A20&lt;&gt;"",IF('09 - ADOPTION &amp; BENEFITS'!A20="","",'09 - ADOPTION &amp; BENEFITS'!A20),"")</f>
        <v/>
      </c>
      <c r="AB298" t="str">
        <f>IF('09 - ADOPTION &amp; BENEFITS'!A20&lt;&gt;"",IF('09 - ADOPTION &amp; BENEFITS'!B20="","",'09 - ADOPTION &amp; BENEFITS'!B20),"")</f>
        <v/>
      </c>
      <c r="AC298" t="str">
        <f>IF('09 - ADOPTION &amp; BENEFITS'!A20&lt;&gt;"",IF('09 - ADOPTION &amp; BENEFITS'!G20="","",'09 - ADOPTION &amp; BENEFITS'!G20),"")</f>
        <v/>
      </c>
      <c r="AD298" t="str">
        <f>IF('09 - ADOPTION &amp; BENEFITS'!A20&lt;&gt;"",IF('09 - ADOPTION &amp; BENEFITS'!H20="","",'09 - ADOPTION &amp; BENEFITS'!H20),"")</f>
        <v/>
      </c>
      <c r="AE298" t="str">
        <f>IF('09 - ADOPTION &amp; BENEFITS'!A20&lt;&gt;"",IF('09 - ADOPTION &amp; BENEFITS'!D20="","",'09 - ADOPTION &amp; BENEFITS'!D20),"")</f>
        <v/>
      </c>
      <c r="AF298" s="17" t="str">
        <f>IF('09 - ADOPTION &amp; BENEFITS'!A20&lt;&gt;"",IF('09 - ADOPTION &amp; BENEFITS'!E20="","",'09 - ADOPTION &amp; BENEFITS'!E20),"")</f>
        <v/>
      </c>
      <c r="AG298" t="str">
        <f>IF('09 - ADOPTION &amp; BENEFITS'!A20&lt;&gt;"",IF('09 - ADOPTION &amp; BENEFITS'!I20="","",'09 - ADOPTION &amp; BENEFITS'!I20),"")</f>
        <v/>
      </c>
      <c r="AH298" t="str">
        <f>IF('09 - ADOPTION &amp; BENEFITS'!A20&lt;&gt;"",IF('09 - ADOPTION &amp; BENEFITS'!J20="","",'09 - ADOPTION &amp; BENEFITS'!J20),"")</f>
        <v/>
      </c>
      <c r="AI298" t="str">
        <f>IF('09 - ADOPTION &amp; BENEFITS'!A20&lt;&gt;"",IF('09 - ADOPTION &amp; BENEFITS'!C20="","",'09 - ADOPTION &amp; BENEFITS'!C20),"")</f>
        <v/>
      </c>
      <c r="AJ298" t="str">
        <f>IF('09 - ADOPTION &amp; BENEFITS'!A20&lt;&gt;"","09 - ADOPTION &amp; BENEFITS row 20","")</f>
        <v/>
      </c>
      <c r="AK298">
        <f>IF(AND('09 - ADOPTION &amp; BENEFITS'!A20&lt;&gt;"",OR('09 - ADOPTION &amp; BENEFITS'!C20&lt;&gt;"Closed",'09 - ADOPTION &amp; BENEFITS'!G20&lt;&gt;""),OR(AC298&lt;&gt;"",AD298&lt;&gt;"")),IF(Y298="Critical",1,IF(Y298="Review",2,3))*100000000+IF(ISNUMBER(AF298),AF298,99999)*1000+ROW(),999999999999)</f>
        <v>999999999999</v>
      </c>
      <c r="AL298">
        <f t="shared" si="30"/>
        <v>999999999999</v>
      </c>
      <c r="AM298">
        <f t="shared" si="34"/>
        <v>999999999999</v>
      </c>
      <c r="AN298">
        <f t="shared" si="33"/>
        <v>999999999999</v>
      </c>
      <c r="AO298">
        <f t="shared" si="31"/>
        <v>999999999999</v>
      </c>
      <c r="AP298">
        <f t="shared" si="29"/>
        <v>999999999999</v>
      </c>
      <c r="AQ298">
        <f t="shared" si="28"/>
        <v>999999999999</v>
      </c>
      <c r="AR298">
        <f t="shared" si="32"/>
        <v>0</v>
      </c>
    </row>
    <row r="299" spans="25:44">
      <c r="Y299" t="str">
        <f>IF('09 - ADOPTION &amp; BENEFITS'!A21&lt;&gt;"",IF('09 - ADOPTION &amp; BENEFITS'!F21="","",'09 - ADOPTION &amp; BENEFITS'!F21),"")</f>
        <v/>
      </c>
      <c r="Z299" t="str">
        <f>IF('09 - ADOPTION &amp; BENEFITS'!A21&lt;&gt;"","Adoption","")</f>
        <v/>
      </c>
      <c r="AA299" t="str">
        <f>IF('09 - ADOPTION &amp; BENEFITS'!A21&lt;&gt;"",IF('09 - ADOPTION &amp; BENEFITS'!A21="","",'09 - ADOPTION &amp; BENEFITS'!A21),"")</f>
        <v/>
      </c>
      <c r="AB299" t="str">
        <f>IF('09 - ADOPTION &amp; BENEFITS'!A21&lt;&gt;"",IF('09 - ADOPTION &amp; BENEFITS'!B21="","",'09 - ADOPTION &amp; BENEFITS'!B21),"")</f>
        <v/>
      </c>
      <c r="AC299" t="str">
        <f>IF('09 - ADOPTION &amp; BENEFITS'!A21&lt;&gt;"",IF('09 - ADOPTION &amp; BENEFITS'!G21="","",'09 - ADOPTION &amp; BENEFITS'!G21),"")</f>
        <v/>
      </c>
      <c r="AD299" t="str">
        <f>IF('09 - ADOPTION &amp; BENEFITS'!A21&lt;&gt;"",IF('09 - ADOPTION &amp; BENEFITS'!H21="","",'09 - ADOPTION &amp; BENEFITS'!H21),"")</f>
        <v/>
      </c>
      <c r="AE299" t="str">
        <f>IF('09 - ADOPTION &amp; BENEFITS'!A21&lt;&gt;"",IF('09 - ADOPTION &amp; BENEFITS'!D21="","",'09 - ADOPTION &amp; BENEFITS'!D21),"")</f>
        <v/>
      </c>
      <c r="AF299" s="17" t="str">
        <f>IF('09 - ADOPTION &amp; BENEFITS'!A21&lt;&gt;"",IF('09 - ADOPTION &amp; BENEFITS'!E21="","",'09 - ADOPTION &amp; BENEFITS'!E21),"")</f>
        <v/>
      </c>
      <c r="AG299" t="str">
        <f>IF('09 - ADOPTION &amp; BENEFITS'!A21&lt;&gt;"",IF('09 - ADOPTION &amp; BENEFITS'!I21="","",'09 - ADOPTION &amp; BENEFITS'!I21),"")</f>
        <v/>
      </c>
      <c r="AH299" t="str">
        <f>IF('09 - ADOPTION &amp; BENEFITS'!A21&lt;&gt;"",IF('09 - ADOPTION &amp; BENEFITS'!J21="","",'09 - ADOPTION &amp; BENEFITS'!J21),"")</f>
        <v/>
      </c>
      <c r="AI299" t="str">
        <f>IF('09 - ADOPTION &amp; BENEFITS'!A21&lt;&gt;"",IF('09 - ADOPTION &amp; BENEFITS'!C21="","",'09 - ADOPTION &amp; BENEFITS'!C21),"")</f>
        <v/>
      </c>
      <c r="AJ299" t="str">
        <f>IF('09 - ADOPTION &amp; BENEFITS'!A21&lt;&gt;"","09 - ADOPTION &amp; BENEFITS row 21","")</f>
        <v/>
      </c>
      <c r="AK299">
        <f>IF(AND('09 - ADOPTION &amp; BENEFITS'!A21&lt;&gt;"",OR('09 - ADOPTION &amp; BENEFITS'!C21&lt;&gt;"Closed",'09 - ADOPTION &amp; BENEFITS'!G21&lt;&gt;""),OR(AC299&lt;&gt;"",AD299&lt;&gt;"")),IF(Y299="Critical",1,IF(Y299="Review",2,3))*100000000+IF(ISNUMBER(AF299),AF299,99999)*1000+ROW(),999999999999)</f>
        <v>999999999999</v>
      </c>
      <c r="AL299">
        <f t="shared" si="30"/>
        <v>999999999999</v>
      </c>
      <c r="AM299">
        <f t="shared" si="34"/>
        <v>999999999999</v>
      </c>
      <c r="AN299">
        <f t="shared" si="33"/>
        <v>999999999999</v>
      </c>
      <c r="AO299">
        <f t="shared" si="31"/>
        <v>999999999999</v>
      </c>
      <c r="AP299">
        <f t="shared" si="29"/>
        <v>999999999999</v>
      </c>
      <c r="AQ299">
        <f t="shared" si="28"/>
        <v>999999999999</v>
      </c>
      <c r="AR299">
        <f t="shared" si="32"/>
        <v>0</v>
      </c>
    </row>
    <row r="300" spans="25:44">
      <c r="Y300" t="str">
        <f>IF('09 - ADOPTION &amp; BENEFITS'!A22&lt;&gt;"",IF('09 - ADOPTION &amp; BENEFITS'!F22="","",'09 - ADOPTION &amp; BENEFITS'!F22),"")</f>
        <v/>
      </c>
      <c r="Z300" t="str">
        <f>IF('09 - ADOPTION &amp; BENEFITS'!A22&lt;&gt;"","Adoption","")</f>
        <v/>
      </c>
      <c r="AA300" t="str">
        <f>IF('09 - ADOPTION &amp; BENEFITS'!A22&lt;&gt;"",IF('09 - ADOPTION &amp; BENEFITS'!A22="","",'09 - ADOPTION &amp; BENEFITS'!A22),"")</f>
        <v/>
      </c>
      <c r="AB300" t="str">
        <f>IF('09 - ADOPTION &amp; BENEFITS'!A22&lt;&gt;"",IF('09 - ADOPTION &amp; BENEFITS'!B22="","",'09 - ADOPTION &amp; BENEFITS'!B22),"")</f>
        <v/>
      </c>
      <c r="AC300" t="str">
        <f>IF('09 - ADOPTION &amp; BENEFITS'!A22&lt;&gt;"",IF('09 - ADOPTION &amp; BENEFITS'!G22="","",'09 - ADOPTION &amp; BENEFITS'!G22),"")</f>
        <v/>
      </c>
      <c r="AD300" t="str">
        <f>IF('09 - ADOPTION &amp; BENEFITS'!A22&lt;&gt;"",IF('09 - ADOPTION &amp; BENEFITS'!H22="","",'09 - ADOPTION &amp; BENEFITS'!H22),"")</f>
        <v/>
      </c>
      <c r="AE300" t="str">
        <f>IF('09 - ADOPTION &amp; BENEFITS'!A22&lt;&gt;"",IF('09 - ADOPTION &amp; BENEFITS'!D22="","",'09 - ADOPTION &amp; BENEFITS'!D22),"")</f>
        <v/>
      </c>
      <c r="AF300" s="17" t="str">
        <f>IF('09 - ADOPTION &amp; BENEFITS'!A22&lt;&gt;"",IF('09 - ADOPTION &amp; BENEFITS'!E22="","",'09 - ADOPTION &amp; BENEFITS'!E22),"")</f>
        <v/>
      </c>
      <c r="AG300" t="str">
        <f>IF('09 - ADOPTION &amp; BENEFITS'!A22&lt;&gt;"",IF('09 - ADOPTION &amp; BENEFITS'!I22="","",'09 - ADOPTION &amp; BENEFITS'!I22),"")</f>
        <v/>
      </c>
      <c r="AH300" t="str">
        <f>IF('09 - ADOPTION &amp; BENEFITS'!A22&lt;&gt;"",IF('09 - ADOPTION &amp; BENEFITS'!J22="","",'09 - ADOPTION &amp; BENEFITS'!J22),"")</f>
        <v/>
      </c>
      <c r="AI300" t="str">
        <f>IF('09 - ADOPTION &amp; BENEFITS'!A22&lt;&gt;"",IF('09 - ADOPTION &amp; BENEFITS'!C22="","",'09 - ADOPTION &amp; BENEFITS'!C22),"")</f>
        <v/>
      </c>
      <c r="AJ300" t="str">
        <f>IF('09 - ADOPTION &amp; BENEFITS'!A22&lt;&gt;"","09 - ADOPTION &amp; BENEFITS row 22","")</f>
        <v/>
      </c>
      <c r="AK300">
        <f>IF(AND('09 - ADOPTION &amp; BENEFITS'!A22&lt;&gt;"",OR('09 - ADOPTION &amp; BENEFITS'!C22&lt;&gt;"Closed",'09 - ADOPTION &amp; BENEFITS'!G22&lt;&gt;""),OR(AC300&lt;&gt;"",AD300&lt;&gt;"")),IF(Y300="Critical",1,IF(Y300="Review",2,3))*100000000+IF(ISNUMBER(AF300),AF300,99999)*1000+ROW(),999999999999)</f>
        <v>999999999999</v>
      </c>
      <c r="AL300">
        <f t="shared" si="30"/>
        <v>999999999999</v>
      </c>
      <c r="AM300">
        <f t="shared" si="34"/>
        <v>999999999999</v>
      </c>
      <c r="AN300">
        <f t="shared" si="33"/>
        <v>999999999999</v>
      </c>
      <c r="AO300">
        <f t="shared" si="31"/>
        <v>999999999999</v>
      </c>
      <c r="AP300">
        <f t="shared" si="29"/>
        <v>999999999999</v>
      </c>
      <c r="AQ300">
        <f t="shared" si="28"/>
        <v>999999999999</v>
      </c>
      <c r="AR300">
        <f t="shared" si="32"/>
        <v>0</v>
      </c>
    </row>
    <row r="301" spans="25:44">
      <c r="Y301" t="str">
        <f>IF('09 - ADOPTION &amp; BENEFITS'!A23&lt;&gt;"",IF('09 - ADOPTION &amp; BENEFITS'!F23="","",'09 - ADOPTION &amp; BENEFITS'!F23),"")</f>
        <v/>
      </c>
      <c r="Z301" t="str">
        <f>IF('09 - ADOPTION &amp; BENEFITS'!A23&lt;&gt;"","Adoption","")</f>
        <v/>
      </c>
      <c r="AA301" t="str">
        <f>IF('09 - ADOPTION &amp; BENEFITS'!A23&lt;&gt;"",IF('09 - ADOPTION &amp; BENEFITS'!A23="","",'09 - ADOPTION &amp; BENEFITS'!A23),"")</f>
        <v/>
      </c>
      <c r="AB301" t="str">
        <f>IF('09 - ADOPTION &amp; BENEFITS'!A23&lt;&gt;"",IF('09 - ADOPTION &amp; BENEFITS'!B23="","",'09 - ADOPTION &amp; BENEFITS'!B23),"")</f>
        <v/>
      </c>
      <c r="AC301" t="str">
        <f>IF('09 - ADOPTION &amp; BENEFITS'!A23&lt;&gt;"",IF('09 - ADOPTION &amp; BENEFITS'!G23="","",'09 - ADOPTION &amp; BENEFITS'!G23),"")</f>
        <v/>
      </c>
      <c r="AD301" t="str">
        <f>IF('09 - ADOPTION &amp; BENEFITS'!A23&lt;&gt;"",IF('09 - ADOPTION &amp; BENEFITS'!H23="","",'09 - ADOPTION &amp; BENEFITS'!H23),"")</f>
        <v/>
      </c>
      <c r="AE301" t="str">
        <f>IF('09 - ADOPTION &amp; BENEFITS'!A23&lt;&gt;"",IF('09 - ADOPTION &amp; BENEFITS'!D23="","",'09 - ADOPTION &amp; BENEFITS'!D23),"")</f>
        <v/>
      </c>
      <c r="AF301" s="17" t="str">
        <f>IF('09 - ADOPTION &amp; BENEFITS'!A23&lt;&gt;"",IF('09 - ADOPTION &amp; BENEFITS'!E23="","",'09 - ADOPTION &amp; BENEFITS'!E23),"")</f>
        <v/>
      </c>
      <c r="AG301" t="str">
        <f>IF('09 - ADOPTION &amp; BENEFITS'!A23&lt;&gt;"",IF('09 - ADOPTION &amp; BENEFITS'!I23="","",'09 - ADOPTION &amp; BENEFITS'!I23),"")</f>
        <v/>
      </c>
      <c r="AH301" t="str">
        <f>IF('09 - ADOPTION &amp; BENEFITS'!A23&lt;&gt;"",IF('09 - ADOPTION &amp; BENEFITS'!J23="","",'09 - ADOPTION &amp; BENEFITS'!J23),"")</f>
        <v/>
      </c>
      <c r="AI301" t="str">
        <f>IF('09 - ADOPTION &amp; BENEFITS'!A23&lt;&gt;"",IF('09 - ADOPTION &amp; BENEFITS'!C23="","",'09 - ADOPTION &amp; BENEFITS'!C23),"")</f>
        <v/>
      </c>
      <c r="AJ301" t="str">
        <f>IF('09 - ADOPTION &amp; BENEFITS'!A23&lt;&gt;"","09 - ADOPTION &amp; BENEFITS row 23","")</f>
        <v/>
      </c>
      <c r="AK301">
        <f>IF(AND('09 - ADOPTION &amp; BENEFITS'!A23&lt;&gt;"",OR('09 - ADOPTION &amp; BENEFITS'!C23&lt;&gt;"Closed",'09 - ADOPTION &amp; BENEFITS'!G23&lt;&gt;""),OR(AC301&lt;&gt;"",AD301&lt;&gt;"")),IF(Y301="Critical",1,IF(Y301="Review",2,3))*100000000+IF(ISNUMBER(AF301),AF301,99999)*1000+ROW(),999999999999)</f>
        <v>999999999999</v>
      </c>
      <c r="AL301">
        <f t="shared" si="30"/>
        <v>999999999999</v>
      </c>
      <c r="AM301">
        <f t="shared" si="34"/>
        <v>999999999999</v>
      </c>
      <c r="AN301">
        <f t="shared" si="33"/>
        <v>999999999999</v>
      </c>
      <c r="AO301">
        <f t="shared" si="31"/>
        <v>999999999999</v>
      </c>
      <c r="AP301">
        <f t="shared" si="29"/>
        <v>999999999999</v>
      </c>
      <c r="AQ301">
        <f t="shared" si="28"/>
        <v>999999999999</v>
      </c>
      <c r="AR301">
        <f t="shared" si="32"/>
        <v>0</v>
      </c>
    </row>
    <row r="302" spans="25:44">
      <c r="Y302" t="str">
        <f>IF('09 - ADOPTION &amp; BENEFITS'!A24&lt;&gt;"",IF('09 - ADOPTION &amp; BENEFITS'!F24="","",'09 - ADOPTION &amp; BENEFITS'!F24),"")</f>
        <v/>
      </c>
      <c r="Z302" t="str">
        <f>IF('09 - ADOPTION &amp; BENEFITS'!A24&lt;&gt;"","Adoption","")</f>
        <v/>
      </c>
      <c r="AA302" t="str">
        <f>IF('09 - ADOPTION &amp; BENEFITS'!A24&lt;&gt;"",IF('09 - ADOPTION &amp; BENEFITS'!A24="","",'09 - ADOPTION &amp; BENEFITS'!A24),"")</f>
        <v/>
      </c>
      <c r="AB302" t="str">
        <f>IF('09 - ADOPTION &amp; BENEFITS'!A24&lt;&gt;"",IF('09 - ADOPTION &amp; BENEFITS'!B24="","",'09 - ADOPTION &amp; BENEFITS'!B24),"")</f>
        <v/>
      </c>
      <c r="AC302" t="str">
        <f>IF('09 - ADOPTION &amp; BENEFITS'!A24&lt;&gt;"",IF('09 - ADOPTION &amp; BENEFITS'!G24="","",'09 - ADOPTION &amp; BENEFITS'!G24),"")</f>
        <v/>
      </c>
      <c r="AD302" t="str">
        <f>IF('09 - ADOPTION &amp; BENEFITS'!A24&lt;&gt;"",IF('09 - ADOPTION &amp; BENEFITS'!H24="","",'09 - ADOPTION &amp; BENEFITS'!H24),"")</f>
        <v/>
      </c>
      <c r="AE302" t="str">
        <f>IF('09 - ADOPTION &amp; BENEFITS'!A24&lt;&gt;"",IF('09 - ADOPTION &amp; BENEFITS'!D24="","",'09 - ADOPTION &amp; BENEFITS'!D24),"")</f>
        <v/>
      </c>
      <c r="AF302" s="17" t="str">
        <f>IF('09 - ADOPTION &amp; BENEFITS'!A24&lt;&gt;"",IF('09 - ADOPTION &amp; BENEFITS'!E24="","",'09 - ADOPTION &amp; BENEFITS'!E24),"")</f>
        <v/>
      </c>
      <c r="AG302" t="str">
        <f>IF('09 - ADOPTION &amp; BENEFITS'!A24&lt;&gt;"",IF('09 - ADOPTION &amp; BENEFITS'!I24="","",'09 - ADOPTION &amp; BENEFITS'!I24),"")</f>
        <v/>
      </c>
      <c r="AH302" t="str">
        <f>IF('09 - ADOPTION &amp; BENEFITS'!A24&lt;&gt;"",IF('09 - ADOPTION &amp; BENEFITS'!J24="","",'09 - ADOPTION &amp; BENEFITS'!J24),"")</f>
        <v/>
      </c>
      <c r="AI302" t="str">
        <f>IF('09 - ADOPTION &amp; BENEFITS'!A24&lt;&gt;"",IF('09 - ADOPTION &amp; BENEFITS'!C24="","",'09 - ADOPTION &amp; BENEFITS'!C24),"")</f>
        <v/>
      </c>
      <c r="AJ302" t="str">
        <f>IF('09 - ADOPTION &amp; BENEFITS'!A24&lt;&gt;"","09 - ADOPTION &amp; BENEFITS row 24","")</f>
        <v/>
      </c>
      <c r="AK302">
        <f>IF(AND('09 - ADOPTION &amp; BENEFITS'!A24&lt;&gt;"",OR('09 - ADOPTION &amp; BENEFITS'!C24&lt;&gt;"Closed",'09 - ADOPTION &amp; BENEFITS'!G24&lt;&gt;""),OR(AC302&lt;&gt;"",AD302&lt;&gt;"")),IF(Y302="Critical",1,IF(Y302="Review",2,3))*100000000+IF(ISNUMBER(AF302),AF302,99999)*1000+ROW(),999999999999)</f>
        <v>999999999999</v>
      </c>
      <c r="AL302">
        <f t="shared" si="30"/>
        <v>999999999999</v>
      </c>
      <c r="AM302">
        <f t="shared" si="34"/>
        <v>999999999999</v>
      </c>
      <c r="AN302">
        <f t="shared" si="33"/>
        <v>999999999999</v>
      </c>
      <c r="AO302">
        <f t="shared" si="31"/>
        <v>999999999999</v>
      </c>
      <c r="AP302">
        <f t="shared" si="29"/>
        <v>999999999999</v>
      </c>
      <c r="AQ302">
        <f t="shared" si="28"/>
        <v>999999999999</v>
      </c>
      <c r="AR302">
        <f t="shared" si="32"/>
        <v>0</v>
      </c>
    </row>
    <row r="303" spans="25:44">
      <c r="Y303" t="str">
        <f>IF('09 - ADOPTION &amp; BENEFITS'!A25&lt;&gt;"",IF('09 - ADOPTION &amp; BENEFITS'!F25="","",'09 - ADOPTION &amp; BENEFITS'!F25),"")</f>
        <v/>
      </c>
      <c r="Z303" t="str">
        <f>IF('09 - ADOPTION &amp; BENEFITS'!A25&lt;&gt;"","Adoption","")</f>
        <v/>
      </c>
      <c r="AA303" t="str">
        <f>IF('09 - ADOPTION &amp; BENEFITS'!A25&lt;&gt;"",IF('09 - ADOPTION &amp; BENEFITS'!A25="","",'09 - ADOPTION &amp; BENEFITS'!A25),"")</f>
        <v/>
      </c>
      <c r="AB303" t="str">
        <f>IF('09 - ADOPTION &amp; BENEFITS'!A25&lt;&gt;"",IF('09 - ADOPTION &amp; BENEFITS'!B25="","",'09 - ADOPTION &amp; BENEFITS'!B25),"")</f>
        <v/>
      </c>
      <c r="AC303" t="str">
        <f>IF('09 - ADOPTION &amp; BENEFITS'!A25&lt;&gt;"",IF('09 - ADOPTION &amp; BENEFITS'!G25="","",'09 - ADOPTION &amp; BENEFITS'!G25),"")</f>
        <v/>
      </c>
      <c r="AD303" t="str">
        <f>IF('09 - ADOPTION &amp; BENEFITS'!A25&lt;&gt;"",IF('09 - ADOPTION &amp; BENEFITS'!H25="","",'09 - ADOPTION &amp; BENEFITS'!H25),"")</f>
        <v/>
      </c>
      <c r="AE303" t="str">
        <f>IF('09 - ADOPTION &amp; BENEFITS'!A25&lt;&gt;"",IF('09 - ADOPTION &amp; BENEFITS'!D25="","",'09 - ADOPTION &amp; BENEFITS'!D25),"")</f>
        <v/>
      </c>
      <c r="AF303" s="17" t="str">
        <f>IF('09 - ADOPTION &amp; BENEFITS'!A25&lt;&gt;"",IF('09 - ADOPTION &amp; BENEFITS'!E25="","",'09 - ADOPTION &amp; BENEFITS'!E25),"")</f>
        <v/>
      </c>
      <c r="AG303" t="str">
        <f>IF('09 - ADOPTION &amp; BENEFITS'!A25&lt;&gt;"",IF('09 - ADOPTION &amp; BENEFITS'!I25="","",'09 - ADOPTION &amp; BENEFITS'!I25),"")</f>
        <v/>
      </c>
      <c r="AH303" t="str">
        <f>IF('09 - ADOPTION &amp; BENEFITS'!A25&lt;&gt;"",IF('09 - ADOPTION &amp; BENEFITS'!J25="","",'09 - ADOPTION &amp; BENEFITS'!J25),"")</f>
        <v/>
      </c>
      <c r="AI303" t="str">
        <f>IF('09 - ADOPTION &amp; BENEFITS'!A25&lt;&gt;"",IF('09 - ADOPTION &amp; BENEFITS'!C25="","",'09 - ADOPTION &amp; BENEFITS'!C25),"")</f>
        <v/>
      </c>
      <c r="AJ303" t="str">
        <f>IF('09 - ADOPTION &amp; BENEFITS'!A25&lt;&gt;"","09 - ADOPTION &amp; BENEFITS row 25","")</f>
        <v/>
      </c>
      <c r="AK303">
        <f>IF(AND('09 - ADOPTION &amp; BENEFITS'!A25&lt;&gt;"",OR('09 - ADOPTION &amp; BENEFITS'!C25&lt;&gt;"Closed",'09 - ADOPTION &amp; BENEFITS'!G25&lt;&gt;""),OR(AC303&lt;&gt;"",AD303&lt;&gt;"")),IF(Y303="Critical",1,IF(Y303="Review",2,3))*100000000+IF(ISNUMBER(AF303),AF303,99999)*1000+ROW(),999999999999)</f>
        <v>999999999999</v>
      </c>
      <c r="AL303">
        <f t="shared" si="30"/>
        <v>999999999999</v>
      </c>
      <c r="AM303">
        <f t="shared" si="34"/>
        <v>999999999999</v>
      </c>
      <c r="AN303">
        <f t="shared" si="33"/>
        <v>999999999999</v>
      </c>
      <c r="AO303">
        <f t="shared" si="31"/>
        <v>999999999999</v>
      </c>
      <c r="AP303">
        <f t="shared" si="29"/>
        <v>999999999999</v>
      </c>
      <c r="AQ303">
        <f t="shared" si="28"/>
        <v>999999999999</v>
      </c>
      <c r="AR303">
        <f t="shared" si="32"/>
        <v>0</v>
      </c>
    </row>
    <row r="304" spans="25:44">
      <c r="Y304" t="str">
        <f>IF('09 - ADOPTION &amp; BENEFITS'!A26&lt;&gt;"",IF('09 - ADOPTION &amp; BENEFITS'!F26="","",'09 - ADOPTION &amp; BENEFITS'!F26),"")</f>
        <v/>
      </c>
      <c r="Z304" t="str">
        <f>IF('09 - ADOPTION &amp; BENEFITS'!A26&lt;&gt;"","Adoption","")</f>
        <v/>
      </c>
      <c r="AA304" t="str">
        <f>IF('09 - ADOPTION &amp; BENEFITS'!A26&lt;&gt;"",IF('09 - ADOPTION &amp; BENEFITS'!A26="","",'09 - ADOPTION &amp; BENEFITS'!A26),"")</f>
        <v/>
      </c>
      <c r="AB304" t="str">
        <f>IF('09 - ADOPTION &amp; BENEFITS'!A26&lt;&gt;"",IF('09 - ADOPTION &amp; BENEFITS'!B26="","",'09 - ADOPTION &amp; BENEFITS'!B26),"")</f>
        <v/>
      </c>
      <c r="AC304" t="str">
        <f>IF('09 - ADOPTION &amp; BENEFITS'!A26&lt;&gt;"",IF('09 - ADOPTION &amp; BENEFITS'!G26="","",'09 - ADOPTION &amp; BENEFITS'!G26),"")</f>
        <v/>
      </c>
      <c r="AD304" t="str">
        <f>IF('09 - ADOPTION &amp; BENEFITS'!A26&lt;&gt;"",IF('09 - ADOPTION &amp; BENEFITS'!H26="","",'09 - ADOPTION &amp; BENEFITS'!H26),"")</f>
        <v/>
      </c>
      <c r="AE304" t="str">
        <f>IF('09 - ADOPTION &amp; BENEFITS'!A26&lt;&gt;"",IF('09 - ADOPTION &amp; BENEFITS'!D26="","",'09 - ADOPTION &amp; BENEFITS'!D26),"")</f>
        <v/>
      </c>
      <c r="AF304" s="17" t="str">
        <f>IF('09 - ADOPTION &amp; BENEFITS'!A26&lt;&gt;"",IF('09 - ADOPTION &amp; BENEFITS'!E26="","",'09 - ADOPTION &amp; BENEFITS'!E26),"")</f>
        <v/>
      </c>
      <c r="AG304" t="str">
        <f>IF('09 - ADOPTION &amp; BENEFITS'!A26&lt;&gt;"",IF('09 - ADOPTION &amp; BENEFITS'!I26="","",'09 - ADOPTION &amp; BENEFITS'!I26),"")</f>
        <v/>
      </c>
      <c r="AH304" t="str">
        <f>IF('09 - ADOPTION &amp; BENEFITS'!A26&lt;&gt;"",IF('09 - ADOPTION &amp; BENEFITS'!J26="","",'09 - ADOPTION &amp; BENEFITS'!J26),"")</f>
        <v/>
      </c>
      <c r="AI304" t="str">
        <f>IF('09 - ADOPTION &amp; BENEFITS'!A26&lt;&gt;"",IF('09 - ADOPTION &amp; BENEFITS'!C26="","",'09 - ADOPTION &amp; BENEFITS'!C26),"")</f>
        <v/>
      </c>
      <c r="AJ304" t="str">
        <f>IF('09 - ADOPTION &amp; BENEFITS'!A26&lt;&gt;"","09 - ADOPTION &amp; BENEFITS row 26","")</f>
        <v/>
      </c>
      <c r="AK304">
        <f>IF(AND('09 - ADOPTION &amp; BENEFITS'!A26&lt;&gt;"",OR('09 - ADOPTION &amp; BENEFITS'!C26&lt;&gt;"Closed",'09 - ADOPTION &amp; BENEFITS'!G26&lt;&gt;""),OR(AC304&lt;&gt;"",AD304&lt;&gt;"")),IF(Y304="Critical",1,IF(Y304="Review",2,3))*100000000+IF(ISNUMBER(AF304),AF304,99999)*1000+ROW(),999999999999)</f>
        <v>999999999999</v>
      </c>
      <c r="AL304">
        <f t="shared" si="30"/>
        <v>999999999999</v>
      </c>
      <c r="AM304">
        <f t="shared" si="34"/>
        <v>999999999999</v>
      </c>
      <c r="AN304">
        <f t="shared" si="33"/>
        <v>999999999999</v>
      </c>
      <c r="AO304">
        <f t="shared" si="31"/>
        <v>999999999999</v>
      </c>
      <c r="AP304">
        <f t="shared" si="29"/>
        <v>999999999999</v>
      </c>
      <c r="AQ304">
        <f t="shared" si="28"/>
        <v>999999999999</v>
      </c>
      <c r="AR304">
        <f t="shared" si="32"/>
        <v>0</v>
      </c>
    </row>
    <row r="305" spans="25:44">
      <c r="Y305" t="str">
        <f>IF('09 - ADOPTION &amp; BENEFITS'!A27&lt;&gt;"",IF('09 - ADOPTION &amp; BENEFITS'!F27="","",'09 - ADOPTION &amp; BENEFITS'!F27),"")</f>
        <v/>
      </c>
      <c r="Z305" t="str">
        <f>IF('09 - ADOPTION &amp; BENEFITS'!A27&lt;&gt;"","Adoption","")</f>
        <v/>
      </c>
      <c r="AA305" t="str">
        <f>IF('09 - ADOPTION &amp; BENEFITS'!A27&lt;&gt;"",IF('09 - ADOPTION &amp; BENEFITS'!A27="","",'09 - ADOPTION &amp; BENEFITS'!A27),"")</f>
        <v/>
      </c>
      <c r="AB305" t="str">
        <f>IF('09 - ADOPTION &amp; BENEFITS'!A27&lt;&gt;"",IF('09 - ADOPTION &amp; BENEFITS'!B27="","",'09 - ADOPTION &amp; BENEFITS'!B27),"")</f>
        <v/>
      </c>
      <c r="AC305" t="str">
        <f>IF('09 - ADOPTION &amp; BENEFITS'!A27&lt;&gt;"",IF('09 - ADOPTION &amp; BENEFITS'!G27="","",'09 - ADOPTION &amp; BENEFITS'!G27),"")</f>
        <v/>
      </c>
      <c r="AD305" t="str">
        <f>IF('09 - ADOPTION &amp; BENEFITS'!A27&lt;&gt;"",IF('09 - ADOPTION &amp; BENEFITS'!H27="","",'09 - ADOPTION &amp; BENEFITS'!H27),"")</f>
        <v/>
      </c>
      <c r="AE305" t="str">
        <f>IF('09 - ADOPTION &amp; BENEFITS'!A27&lt;&gt;"",IF('09 - ADOPTION &amp; BENEFITS'!D27="","",'09 - ADOPTION &amp; BENEFITS'!D27),"")</f>
        <v/>
      </c>
      <c r="AF305" s="17" t="str">
        <f>IF('09 - ADOPTION &amp; BENEFITS'!A27&lt;&gt;"",IF('09 - ADOPTION &amp; BENEFITS'!E27="","",'09 - ADOPTION &amp; BENEFITS'!E27),"")</f>
        <v/>
      </c>
      <c r="AG305" t="str">
        <f>IF('09 - ADOPTION &amp; BENEFITS'!A27&lt;&gt;"",IF('09 - ADOPTION &amp; BENEFITS'!I27="","",'09 - ADOPTION &amp; BENEFITS'!I27),"")</f>
        <v/>
      </c>
      <c r="AH305" t="str">
        <f>IF('09 - ADOPTION &amp; BENEFITS'!A27&lt;&gt;"",IF('09 - ADOPTION &amp; BENEFITS'!J27="","",'09 - ADOPTION &amp; BENEFITS'!J27),"")</f>
        <v/>
      </c>
      <c r="AI305" t="str">
        <f>IF('09 - ADOPTION &amp; BENEFITS'!A27&lt;&gt;"",IF('09 - ADOPTION &amp; BENEFITS'!C27="","",'09 - ADOPTION &amp; BENEFITS'!C27),"")</f>
        <v/>
      </c>
      <c r="AJ305" t="str">
        <f>IF('09 - ADOPTION &amp; BENEFITS'!A27&lt;&gt;"","09 - ADOPTION &amp; BENEFITS row 27","")</f>
        <v/>
      </c>
      <c r="AK305">
        <f>IF(AND('09 - ADOPTION &amp; BENEFITS'!A27&lt;&gt;"",OR('09 - ADOPTION &amp; BENEFITS'!C27&lt;&gt;"Closed",'09 - ADOPTION &amp; BENEFITS'!G27&lt;&gt;""),OR(AC305&lt;&gt;"",AD305&lt;&gt;"")),IF(Y305="Critical",1,IF(Y305="Review",2,3))*100000000+IF(ISNUMBER(AF305),AF305,99999)*1000+ROW(),999999999999)</f>
        <v>999999999999</v>
      </c>
      <c r="AL305">
        <f t="shared" si="30"/>
        <v>999999999999</v>
      </c>
      <c r="AM305">
        <f t="shared" si="34"/>
        <v>999999999999</v>
      </c>
      <c r="AN305">
        <f t="shared" si="33"/>
        <v>999999999999</v>
      </c>
      <c r="AO305">
        <f t="shared" si="31"/>
        <v>999999999999</v>
      </c>
      <c r="AP305">
        <f t="shared" si="29"/>
        <v>999999999999</v>
      </c>
      <c r="AQ305">
        <f t="shared" si="28"/>
        <v>999999999999</v>
      </c>
      <c r="AR305">
        <f t="shared" si="32"/>
        <v>0</v>
      </c>
    </row>
    <row r="306" spans="25:44">
      <c r="Y306" t="str">
        <f>IF('09 - ADOPTION &amp; BENEFITS'!A28&lt;&gt;"",IF('09 - ADOPTION &amp; BENEFITS'!F28="","",'09 - ADOPTION &amp; BENEFITS'!F28),"")</f>
        <v/>
      </c>
      <c r="Z306" t="str">
        <f>IF('09 - ADOPTION &amp; BENEFITS'!A28&lt;&gt;"","Adoption","")</f>
        <v/>
      </c>
      <c r="AA306" t="str">
        <f>IF('09 - ADOPTION &amp; BENEFITS'!A28&lt;&gt;"",IF('09 - ADOPTION &amp; BENEFITS'!A28="","",'09 - ADOPTION &amp; BENEFITS'!A28),"")</f>
        <v/>
      </c>
      <c r="AB306" t="str">
        <f>IF('09 - ADOPTION &amp; BENEFITS'!A28&lt;&gt;"",IF('09 - ADOPTION &amp; BENEFITS'!B28="","",'09 - ADOPTION &amp; BENEFITS'!B28),"")</f>
        <v/>
      </c>
      <c r="AC306" t="str">
        <f>IF('09 - ADOPTION &amp; BENEFITS'!A28&lt;&gt;"",IF('09 - ADOPTION &amp; BENEFITS'!G28="","",'09 - ADOPTION &amp; BENEFITS'!G28),"")</f>
        <v/>
      </c>
      <c r="AD306" t="str">
        <f>IF('09 - ADOPTION &amp; BENEFITS'!A28&lt;&gt;"",IF('09 - ADOPTION &amp; BENEFITS'!H28="","",'09 - ADOPTION &amp; BENEFITS'!H28),"")</f>
        <v/>
      </c>
      <c r="AE306" t="str">
        <f>IF('09 - ADOPTION &amp; BENEFITS'!A28&lt;&gt;"",IF('09 - ADOPTION &amp; BENEFITS'!D28="","",'09 - ADOPTION &amp; BENEFITS'!D28),"")</f>
        <v/>
      </c>
      <c r="AF306" s="17" t="str">
        <f>IF('09 - ADOPTION &amp; BENEFITS'!A28&lt;&gt;"",IF('09 - ADOPTION &amp; BENEFITS'!E28="","",'09 - ADOPTION &amp; BENEFITS'!E28),"")</f>
        <v/>
      </c>
      <c r="AG306" t="str">
        <f>IF('09 - ADOPTION &amp; BENEFITS'!A28&lt;&gt;"",IF('09 - ADOPTION &amp; BENEFITS'!I28="","",'09 - ADOPTION &amp; BENEFITS'!I28),"")</f>
        <v/>
      </c>
      <c r="AH306" t="str">
        <f>IF('09 - ADOPTION &amp; BENEFITS'!A28&lt;&gt;"",IF('09 - ADOPTION &amp; BENEFITS'!J28="","",'09 - ADOPTION &amp; BENEFITS'!J28),"")</f>
        <v/>
      </c>
      <c r="AI306" t="str">
        <f>IF('09 - ADOPTION &amp; BENEFITS'!A28&lt;&gt;"",IF('09 - ADOPTION &amp; BENEFITS'!C28="","",'09 - ADOPTION &amp; BENEFITS'!C28),"")</f>
        <v/>
      </c>
      <c r="AJ306" t="str">
        <f>IF('09 - ADOPTION &amp; BENEFITS'!A28&lt;&gt;"","09 - ADOPTION &amp; BENEFITS row 28","")</f>
        <v/>
      </c>
      <c r="AK306">
        <f>IF(AND('09 - ADOPTION &amp; BENEFITS'!A28&lt;&gt;"",OR('09 - ADOPTION &amp; BENEFITS'!C28&lt;&gt;"Closed",'09 - ADOPTION &amp; BENEFITS'!G28&lt;&gt;""),OR(AC306&lt;&gt;"",AD306&lt;&gt;"")),IF(Y306="Critical",1,IF(Y306="Review",2,3))*100000000+IF(ISNUMBER(AF306),AF306,99999)*1000+ROW(),999999999999)</f>
        <v>999999999999</v>
      </c>
      <c r="AL306">
        <f t="shared" si="30"/>
        <v>999999999999</v>
      </c>
      <c r="AM306">
        <f t="shared" si="34"/>
        <v>999999999999</v>
      </c>
      <c r="AN306">
        <f t="shared" si="33"/>
        <v>999999999999</v>
      </c>
      <c r="AO306">
        <f t="shared" si="31"/>
        <v>999999999999</v>
      </c>
      <c r="AP306">
        <f t="shared" si="29"/>
        <v>999999999999</v>
      </c>
      <c r="AQ306">
        <f t="shared" si="28"/>
        <v>999999999999</v>
      </c>
      <c r="AR306">
        <f t="shared" si="32"/>
        <v>0</v>
      </c>
    </row>
    <row r="307" spans="25:44">
      <c r="Y307" t="str">
        <f>IF('09 - ADOPTION &amp; BENEFITS'!A29&lt;&gt;"",IF('09 - ADOPTION &amp; BENEFITS'!F29="","",'09 - ADOPTION &amp; BENEFITS'!F29),"")</f>
        <v/>
      </c>
      <c r="Z307" t="str">
        <f>IF('09 - ADOPTION &amp; BENEFITS'!A29&lt;&gt;"","Adoption","")</f>
        <v/>
      </c>
      <c r="AA307" t="str">
        <f>IF('09 - ADOPTION &amp; BENEFITS'!A29&lt;&gt;"",IF('09 - ADOPTION &amp; BENEFITS'!A29="","",'09 - ADOPTION &amp; BENEFITS'!A29),"")</f>
        <v/>
      </c>
      <c r="AB307" t="str">
        <f>IF('09 - ADOPTION &amp; BENEFITS'!A29&lt;&gt;"",IF('09 - ADOPTION &amp; BENEFITS'!B29="","",'09 - ADOPTION &amp; BENEFITS'!B29),"")</f>
        <v/>
      </c>
      <c r="AC307" t="str">
        <f>IF('09 - ADOPTION &amp; BENEFITS'!A29&lt;&gt;"",IF('09 - ADOPTION &amp; BENEFITS'!G29="","",'09 - ADOPTION &amp; BENEFITS'!G29),"")</f>
        <v/>
      </c>
      <c r="AD307" t="str">
        <f>IF('09 - ADOPTION &amp; BENEFITS'!A29&lt;&gt;"",IF('09 - ADOPTION &amp; BENEFITS'!H29="","",'09 - ADOPTION &amp; BENEFITS'!H29),"")</f>
        <v/>
      </c>
      <c r="AE307" t="str">
        <f>IF('09 - ADOPTION &amp; BENEFITS'!A29&lt;&gt;"",IF('09 - ADOPTION &amp; BENEFITS'!D29="","",'09 - ADOPTION &amp; BENEFITS'!D29),"")</f>
        <v/>
      </c>
      <c r="AF307" s="17" t="str">
        <f>IF('09 - ADOPTION &amp; BENEFITS'!A29&lt;&gt;"",IF('09 - ADOPTION &amp; BENEFITS'!E29="","",'09 - ADOPTION &amp; BENEFITS'!E29),"")</f>
        <v/>
      </c>
      <c r="AG307" t="str">
        <f>IF('09 - ADOPTION &amp; BENEFITS'!A29&lt;&gt;"",IF('09 - ADOPTION &amp; BENEFITS'!I29="","",'09 - ADOPTION &amp; BENEFITS'!I29),"")</f>
        <v/>
      </c>
      <c r="AH307" t="str">
        <f>IF('09 - ADOPTION &amp; BENEFITS'!A29&lt;&gt;"",IF('09 - ADOPTION &amp; BENEFITS'!J29="","",'09 - ADOPTION &amp; BENEFITS'!J29),"")</f>
        <v/>
      </c>
      <c r="AI307" t="str">
        <f>IF('09 - ADOPTION &amp; BENEFITS'!A29&lt;&gt;"",IF('09 - ADOPTION &amp; BENEFITS'!C29="","",'09 - ADOPTION &amp; BENEFITS'!C29),"")</f>
        <v/>
      </c>
      <c r="AJ307" t="str">
        <f>IF('09 - ADOPTION &amp; BENEFITS'!A29&lt;&gt;"","09 - ADOPTION &amp; BENEFITS row 29","")</f>
        <v/>
      </c>
      <c r="AK307">
        <f>IF(AND('09 - ADOPTION &amp; BENEFITS'!A29&lt;&gt;"",OR('09 - ADOPTION &amp; BENEFITS'!C29&lt;&gt;"Closed",'09 - ADOPTION &amp; BENEFITS'!G29&lt;&gt;""),OR(AC307&lt;&gt;"",AD307&lt;&gt;"")),IF(Y307="Critical",1,IF(Y307="Review",2,3))*100000000+IF(ISNUMBER(AF307),AF307,99999)*1000+ROW(),999999999999)</f>
        <v>999999999999</v>
      </c>
      <c r="AL307">
        <f t="shared" si="30"/>
        <v>999999999999</v>
      </c>
      <c r="AM307">
        <f t="shared" si="34"/>
        <v>999999999999</v>
      </c>
      <c r="AN307">
        <f t="shared" si="33"/>
        <v>999999999999</v>
      </c>
      <c r="AO307">
        <f t="shared" si="31"/>
        <v>999999999999</v>
      </c>
      <c r="AP307">
        <f t="shared" si="29"/>
        <v>999999999999</v>
      </c>
      <c r="AQ307">
        <f t="shared" si="28"/>
        <v>999999999999</v>
      </c>
      <c r="AR307">
        <f t="shared" si="32"/>
        <v>0</v>
      </c>
    </row>
    <row r="308" spans="25:44">
      <c r="Y308" t="str">
        <f>IF('09 - ADOPTION &amp; BENEFITS'!A30&lt;&gt;"",IF('09 - ADOPTION &amp; BENEFITS'!F30="","",'09 - ADOPTION &amp; BENEFITS'!F30),"")</f>
        <v/>
      </c>
      <c r="Z308" t="str">
        <f>IF('09 - ADOPTION &amp; BENEFITS'!A30&lt;&gt;"","Adoption","")</f>
        <v/>
      </c>
      <c r="AA308" t="str">
        <f>IF('09 - ADOPTION &amp; BENEFITS'!A30&lt;&gt;"",IF('09 - ADOPTION &amp; BENEFITS'!A30="","",'09 - ADOPTION &amp; BENEFITS'!A30),"")</f>
        <v/>
      </c>
      <c r="AB308" t="str">
        <f>IF('09 - ADOPTION &amp; BENEFITS'!A30&lt;&gt;"",IF('09 - ADOPTION &amp; BENEFITS'!B30="","",'09 - ADOPTION &amp; BENEFITS'!B30),"")</f>
        <v/>
      </c>
      <c r="AC308" t="str">
        <f>IF('09 - ADOPTION &amp; BENEFITS'!A30&lt;&gt;"",IF('09 - ADOPTION &amp; BENEFITS'!G30="","",'09 - ADOPTION &amp; BENEFITS'!G30),"")</f>
        <v/>
      </c>
      <c r="AD308" t="str">
        <f>IF('09 - ADOPTION &amp; BENEFITS'!A30&lt;&gt;"",IF('09 - ADOPTION &amp; BENEFITS'!H30="","",'09 - ADOPTION &amp; BENEFITS'!H30),"")</f>
        <v/>
      </c>
      <c r="AE308" t="str">
        <f>IF('09 - ADOPTION &amp; BENEFITS'!A30&lt;&gt;"",IF('09 - ADOPTION &amp; BENEFITS'!D30="","",'09 - ADOPTION &amp; BENEFITS'!D30),"")</f>
        <v/>
      </c>
      <c r="AF308" s="17" t="str">
        <f>IF('09 - ADOPTION &amp; BENEFITS'!A30&lt;&gt;"",IF('09 - ADOPTION &amp; BENEFITS'!E30="","",'09 - ADOPTION &amp; BENEFITS'!E30),"")</f>
        <v/>
      </c>
      <c r="AG308" t="str">
        <f>IF('09 - ADOPTION &amp; BENEFITS'!A30&lt;&gt;"",IF('09 - ADOPTION &amp; BENEFITS'!I30="","",'09 - ADOPTION &amp; BENEFITS'!I30),"")</f>
        <v/>
      </c>
      <c r="AH308" t="str">
        <f>IF('09 - ADOPTION &amp; BENEFITS'!A30&lt;&gt;"",IF('09 - ADOPTION &amp; BENEFITS'!J30="","",'09 - ADOPTION &amp; BENEFITS'!J30),"")</f>
        <v/>
      </c>
      <c r="AI308" t="str">
        <f>IF('09 - ADOPTION &amp; BENEFITS'!A30&lt;&gt;"",IF('09 - ADOPTION &amp; BENEFITS'!C30="","",'09 - ADOPTION &amp; BENEFITS'!C30),"")</f>
        <v/>
      </c>
      <c r="AJ308" t="str">
        <f>IF('09 - ADOPTION &amp; BENEFITS'!A30&lt;&gt;"","09 - ADOPTION &amp; BENEFITS row 30","")</f>
        <v/>
      </c>
      <c r="AK308">
        <f>IF(AND('09 - ADOPTION &amp; BENEFITS'!A30&lt;&gt;"",OR('09 - ADOPTION &amp; BENEFITS'!C30&lt;&gt;"Closed",'09 - ADOPTION &amp; BENEFITS'!G30&lt;&gt;""),OR(AC308&lt;&gt;"",AD308&lt;&gt;"")),IF(Y308="Critical",1,IF(Y308="Review",2,3))*100000000+IF(ISNUMBER(AF308),AF308,99999)*1000+ROW(),999999999999)</f>
        <v>999999999999</v>
      </c>
      <c r="AL308">
        <f t="shared" si="30"/>
        <v>999999999999</v>
      </c>
      <c r="AM308">
        <f t="shared" si="34"/>
        <v>999999999999</v>
      </c>
      <c r="AN308">
        <f t="shared" si="33"/>
        <v>999999999999</v>
      </c>
      <c r="AO308">
        <f t="shared" si="31"/>
        <v>999999999999</v>
      </c>
      <c r="AP308">
        <f t="shared" si="29"/>
        <v>999999999999</v>
      </c>
      <c r="AQ308">
        <f t="shared" si="28"/>
        <v>999999999999</v>
      </c>
      <c r="AR308">
        <f t="shared" si="32"/>
        <v>0</v>
      </c>
    </row>
    <row r="309" spans="25:44">
      <c r="Y309" t="str">
        <f>IF('09 - ADOPTION &amp; BENEFITS'!A31&lt;&gt;"",IF('09 - ADOPTION &amp; BENEFITS'!F31="","",'09 - ADOPTION &amp; BENEFITS'!F31),"")</f>
        <v/>
      </c>
      <c r="Z309" t="str">
        <f>IF('09 - ADOPTION &amp; BENEFITS'!A31&lt;&gt;"","Adoption","")</f>
        <v/>
      </c>
      <c r="AA309" t="str">
        <f>IF('09 - ADOPTION &amp; BENEFITS'!A31&lt;&gt;"",IF('09 - ADOPTION &amp; BENEFITS'!A31="","",'09 - ADOPTION &amp; BENEFITS'!A31),"")</f>
        <v/>
      </c>
      <c r="AB309" t="str">
        <f>IF('09 - ADOPTION &amp; BENEFITS'!A31&lt;&gt;"",IF('09 - ADOPTION &amp; BENEFITS'!B31="","",'09 - ADOPTION &amp; BENEFITS'!B31),"")</f>
        <v/>
      </c>
      <c r="AC309" t="str">
        <f>IF('09 - ADOPTION &amp; BENEFITS'!A31&lt;&gt;"",IF('09 - ADOPTION &amp; BENEFITS'!G31="","",'09 - ADOPTION &amp; BENEFITS'!G31),"")</f>
        <v/>
      </c>
      <c r="AD309" t="str">
        <f>IF('09 - ADOPTION &amp; BENEFITS'!A31&lt;&gt;"",IF('09 - ADOPTION &amp; BENEFITS'!H31="","",'09 - ADOPTION &amp; BENEFITS'!H31),"")</f>
        <v/>
      </c>
      <c r="AE309" t="str">
        <f>IF('09 - ADOPTION &amp; BENEFITS'!A31&lt;&gt;"",IF('09 - ADOPTION &amp; BENEFITS'!D31="","",'09 - ADOPTION &amp; BENEFITS'!D31),"")</f>
        <v/>
      </c>
      <c r="AF309" s="17" t="str">
        <f>IF('09 - ADOPTION &amp; BENEFITS'!A31&lt;&gt;"",IF('09 - ADOPTION &amp; BENEFITS'!E31="","",'09 - ADOPTION &amp; BENEFITS'!E31),"")</f>
        <v/>
      </c>
      <c r="AG309" t="str">
        <f>IF('09 - ADOPTION &amp; BENEFITS'!A31&lt;&gt;"",IF('09 - ADOPTION &amp; BENEFITS'!I31="","",'09 - ADOPTION &amp; BENEFITS'!I31),"")</f>
        <v/>
      </c>
      <c r="AH309" t="str">
        <f>IF('09 - ADOPTION &amp; BENEFITS'!A31&lt;&gt;"",IF('09 - ADOPTION &amp; BENEFITS'!J31="","",'09 - ADOPTION &amp; BENEFITS'!J31),"")</f>
        <v/>
      </c>
      <c r="AI309" t="str">
        <f>IF('09 - ADOPTION &amp; BENEFITS'!A31&lt;&gt;"",IF('09 - ADOPTION &amp; BENEFITS'!C31="","",'09 - ADOPTION &amp; BENEFITS'!C31),"")</f>
        <v/>
      </c>
      <c r="AJ309" t="str">
        <f>IF('09 - ADOPTION &amp; BENEFITS'!A31&lt;&gt;"","09 - ADOPTION &amp; BENEFITS row 31","")</f>
        <v/>
      </c>
      <c r="AK309">
        <f>IF(AND('09 - ADOPTION &amp; BENEFITS'!A31&lt;&gt;"",OR('09 - ADOPTION &amp; BENEFITS'!C31&lt;&gt;"Closed",'09 - ADOPTION &amp; BENEFITS'!G31&lt;&gt;""),OR(AC309&lt;&gt;"",AD309&lt;&gt;"")),IF(Y309="Critical",1,IF(Y309="Review",2,3))*100000000+IF(ISNUMBER(AF309),AF309,99999)*1000+ROW(),999999999999)</f>
        <v>999999999999</v>
      </c>
      <c r="AL309">
        <f t="shared" si="30"/>
        <v>999999999999</v>
      </c>
      <c r="AM309">
        <f t="shared" si="34"/>
        <v>999999999999</v>
      </c>
      <c r="AN309">
        <f t="shared" si="33"/>
        <v>999999999999</v>
      </c>
      <c r="AO309">
        <f t="shared" si="31"/>
        <v>999999999999</v>
      </c>
      <c r="AP309">
        <f t="shared" si="29"/>
        <v>999999999999</v>
      </c>
      <c r="AQ309">
        <f t="shared" si="28"/>
        <v>999999999999</v>
      </c>
      <c r="AR309">
        <f t="shared" si="32"/>
        <v>0</v>
      </c>
    </row>
    <row r="310" spans="25:44">
      <c r="Y310" t="str">
        <f>IF('09 - ADOPTION &amp; BENEFITS'!A32&lt;&gt;"",IF('09 - ADOPTION &amp; BENEFITS'!F32="","",'09 - ADOPTION &amp; BENEFITS'!F32),"")</f>
        <v/>
      </c>
      <c r="Z310" t="str">
        <f>IF('09 - ADOPTION &amp; BENEFITS'!A32&lt;&gt;"","Adoption","")</f>
        <v/>
      </c>
      <c r="AA310" t="str">
        <f>IF('09 - ADOPTION &amp; BENEFITS'!A32&lt;&gt;"",IF('09 - ADOPTION &amp; BENEFITS'!A32="","",'09 - ADOPTION &amp; BENEFITS'!A32),"")</f>
        <v/>
      </c>
      <c r="AB310" t="str">
        <f>IF('09 - ADOPTION &amp; BENEFITS'!A32&lt;&gt;"",IF('09 - ADOPTION &amp; BENEFITS'!B32="","",'09 - ADOPTION &amp; BENEFITS'!B32),"")</f>
        <v/>
      </c>
      <c r="AC310" t="str">
        <f>IF('09 - ADOPTION &amp; BENEFITS'!A32&lt;&gt;"",IF('09 - ADOPTION &amp; BENEFITS'!G32="","",'09 - ADOPTION &amp; BENEFITS'!G32),"")</f>
        <v/>
      </c>
      <c r="AD310" t="str">
        <f>IF('09 - ADOPTION &amp; BENEFITS'!A32&lt;&gt;"",IF('09 - ADOPTION &amp; BENEFITS'!H32="","",'09 - ADOPTION &amp; BENEFITS'!H32),"")</f>
        <v/>
      </c>
      <c r="AE310" t="str">
        <f>IF('09 - ADOPTION &amp; BENEFITS'!A32&lt;&gt;"",IF('09 - ADOPTION &amp; BENEFITS'!D32="","",'09 - ADOPTION &amp; BENEFITS'!D32),"")</f>
        <v/>
      </c>
      <c r="AF310" s="17" t="str">
        <f>IF('09 - ADOPTION &amp; BENEFITS'!A32&lt;&gt;"",IF('09 - ADOPTION &amp; BENEFITS'!E32="","",'09 - ADOPTION &amp; BENEFITS'!E32),"")</f>
        <v/>
      </c>
      <c r="AG310" t="str">
        <f>IF('09 - ADOPTION &amp; BENEFITS'!A32&lt;&gt;"",IF('09 - ADOPTION &amp; BENEFITS'!I32="","",'09 - ADOPTION &amp; BENEFITS'!I32),"")</f>
        <v/>
      </c>
      <c r="AH310" t="str">
        <f>IF('09 - ADOPTION &amp; BENEFITS'!A32&lt;&gt;"",IF('09 - ADOPTION &amp; BENEFITS'!J32="","",'09 - ADOPTION &amp; BENEFITS'!J32),"")</f>
        <v/>
      </c>
      <c r="AI310" t="str">
        <f>IF('09 - ADOPTION &amp; BENEFITS'!A32&lt;&gt;"",IF('09 - ADOPTION &amp; BENEFITS'!C32="","",'09 - ADOPTION &amp; BENEFITS'!C32),"")</f>
        <v/>
      </c>
      <c r="AJ310" t="str">
        <f>IF('09 - ADOPTION &amp; BENEFITS'!A32&lt;&gt;"","09 - ADOPTION &amp; BENEFITS row 32","")</f>
        <v/>
      </c>
      <c r="AK310">
        <f>IF(AND('09 - ADOPTION &amp; BENEFITS'!A32&lt;&gt;"",OR('09 - ADOPTION &amp; BENEFITS'!C32&lt;&gt;"Closed",'09 - ADOPTION &amp; BENEFITS'!G32&lt;&gt;""),OR(AC310&lt;&gt;"",AD310&lt;&gt;"")),IF(Y310="Critical",1,IF(Y310="Review",2,3))*100000000+IF(ISNUMBER(AF310),AF310,99999)*1000+ROW(),999999999999)</f>
        <v>999999999999</v>
      </c>
      <c r="AL310">
        <f t="shared" si="30"/>
        <v>999999999999</v>
      </c>
      <c r="AM310">
        <f t="shared" si="34"/>
        <v>999999999999</v>
      </c>
      <c r="AN310">
        <f t="shared" si="33"/>
        <v>999999999999</v>
      </c>
      <c r="AO310">
        <f t="shared" si="31"/>
        <v>999999999999</v>
      </c>
      <c r="AP310">
        <f t="shared" si="29"/>
        <v>999999999999</v>
      </c>
      <c r="AQ310">
        <f t="shared" si="28"/>
        <v>999999999999</v>
      </c>
      <c r="AR310">
        <f t="shared" si="32"/>
        <v>0</v>
      </c>
    </row>
    <row r="311" spans="25:44">
      <c r="Y311" t="str">
        <f>IF('09 - ADOPTION &amp; BENEFITS'!A33&lt;&gt;"",IF('09 - ADOPTION &amp; BENEFITS'!F33="","",'09 - ADOPTION &amp; BENEFITS'!F33),"")</f>
        <v/>
      </c>
      <c r="Z311" t="str">
        <f>IF('09 - ADOPTION &amp; BENEFITS'!A33&lt;&gt;"","Adoption","")</f>
        <v/>
      </c>
      <c r="AA311" t="str">
        <f>IF('09 - ADOPTION &amp; BENEFITS'!A33&lt;&gt;"",IF('09 - ADOPTION &amp; BENEFITS'!A33="","",'09 - ADOPTION &amp; BENEFITS'!A33),"")</f>
        <v/>
      </c>
      <c r="AB311" t="str">
        <f>IF('09 - ADOPTION &amp; BENEFITS'!A33&lt;&gt;"",IF('09 - ADOPTION &amp; BENEFITS'!B33="","",'09 - ADOPTION &amp; BENEFITS'!B33),"")</f>
        <v/>
      </c>
      <c r="AC311" t="str">
        <f>IF('09 - ADOPTION &amp; BENEFITS'!A33&lt;&gt;"",IF('09 - ADOPTION &amp; BENEFITS'!G33="","",'09 - ADOPTION &amp; BENEFITS'!G33),"")</f>
        <v/>
      </c>
      <c r="AD311" t="str">
        <f>IF('09 - ADOPTION &amp; BENEFITS'!A33&lt;&gt;"",IF('09 - ADOPTION &amp; BENEFITS'!H33="","",'09 - ADOPTION &amp; BENEFITS'!H33),"")</f>
        <v/>
      </c>
      <c r="AE311" t="str">
        <f>IF('09 - ADOPTION &amp; BENEFITS'!A33&lt;&gt;"",IF('09 - ADOPTION &amp; BENEFITS'!D33="","",'09 - ADOPTION &amp; BENEFITS'!D33),"")</f>
        <v/>
      </c>
      <c r="AF311" s="17" t="str">
        <f>IF('09 - ADOPTION &amp; BENEFITS'!A33&lt;&gt;"",IF('09 - ADOPTION &amp; BENEFITS'!E33="","",'09 - ADOPTION &amp; BENEFITS'!E33),"")</f>
        <v/>
      </c>
      <c r="AG311" t="str">
        <f>IF('09 - ADOPTION &amp; BENEFITS'!A33&lt;&gt;"",IF('09 - ADOPTION &amp; BENEFITS'!I33="","",'09 - ADOPTION &amp; BENEFITS'!I33),"")</f>
        <v/>
      </c>
      <c r="AH311" t="str">
        <f>IF('09 - ADOPTION &amp; BENEFITS'!A33&lt;&gt;"",IF('09 - ADOPTION &amp; BENEFITS'!J33="","",'09 - ADOPTION &amp; BENEFITS'!J33),"")</f>
        <v/>
      </c>
      <c r="AI311" t="str">
        <f>IF('09 - ADOPTION &amp; BENEFITS'!A33&lt;&gt;"",IF('09 - ADOPTION &amp; BENEFITS'!C33="","",'09 - ADOPTION &amp; BENEFITS'!C33),"")</f>
        <v/>
      </c>
      <c r="AJ311" t="str">
        <f>IF('09 - ADOPTION &amp; BENEFITS'!A33&lt;&gt;"","09 - ADOPTION &amp; BENEFITS row 33","")</f>
        <v/>
      </c>
      <c r="AK311">
        <f>IF(AND('09 - ADOPTION &amp; BENEFITS'!A33&lt;&gt;"",OR('09 - ADOPTION &amp; BENEFITS'!C33&lt;&gt;"Closed",'09 - ADOPTION &amp; BENEFITS'!G33&lt;&gt;""),OR(AC311&lt;&gt;"",AD311&lt;&gt;"")),IF(Y311="Critical",1,IF(Y311="Review",2,3))*100000000+IF(ISNUMBER(AF311),AF311,99999)*1000+ROW(),999999999999)</f>
        <v>999999999999</v>
      </c>
      <c r="AL311">
        <f t="shared" si="30"/>
        <v>999999999999</v>
      </c>
      <c r="AM311">
        <f t="shared" si="34"/>
        <v>999999999999</v>
      </c>
      <c r="AN311">
        <f t="shared" si="33"/>
        <v>999999999999</v>
      </c>
      <c r="AO311">
        <f t="shared" si="31"/>
        <v>999999999999</v>
      </c>
      <c r="AP311">
        <f t="shared" si="29"/>
        <v>999999999999</v>
      </c>
      <c r="AQ311">
        <f t="shared" si="28"/>
        <v>999999999999</v>
      </c>
      <c r="AR311">
        <f t="shared" si="32"/>
        <v>0</v>
      </c>
    </row>
    <row r="312" spans="25:44">
      <c r="Y312" t="str">
        <f>IF('09 - ADOPTION &amp; BENEFITS'!A34&lt;&gt;"",IF('09 - ADOPTION &amp; BENEFITS'!F34="","",'09 - ADOPTION &amp; BENEFITS'!F34),"")</f>
        <v/>
      </c>
      <c r="Z312" t="str">
        <f>IF('09 - ADOPTION &amp; BENEFITS'!A34&lt;&gt;"","Adoption","")</f>
        <v/>
      </c>
      <c r="AA312" t="str">
        <f>IF('09 - ADOPTION &amp; BENEFITS'!A34&lt;&gt;"",IF('09 - ADOPTION &amp; BENEFITS'!A34="","",'09 - ADOPTION &amp; BENEFITS'!A34),"")</f>
        <v/>
      </c>
      <c r="AB312" t="str">
        <f>IF('09 - ADOPTION &amp; BENEFITS'!A34&lt;&gt;"",IF('09 - ADOPTION &amp; BENEFITS'!B34="","",'09 - ADOPTION &amp; BENEFITS'!B34),"")</f>
        <v/>
      </c>
      <c r="AC312" t="str">
        <f>IF('09 - ADOPTION &amp; BENEFITS'!A34&lt;&gt;"",IF('09 - ADOPTION &amp; BENEFITS'!G34="","",'09 - ADOPTION &amp; BENEFITS'!G34),"")</f>
        <v/>
      </c>
      <c r="AD312" t="str">
        <f>IF('09 - ADOPTION &amp; BENEFITS'!A34&lt;&gt;"",IF('09 - ADOPTION &amp; BENEFITS'!H34="","",'09 - ADOPTION &amp; BENEFITS'!H34),"")</f>
        <v/>
      </c>
      <c r="AE312" t="str">
        <f>IF('09 - ADOPTION &amp; BENEFITS'!A34&lt;&gt;"",IF('09 - ADOPTION &amp; BENEFITS'!D34="","",'09 - ADOPTION &amp; BENEFITS'!D34),"")</f>
        <v/>
      </c>
      <c r="AF312" s="17" t="str">
        <f>IF('09 - ADOPTION &amp; BENEFITS'!A34&lt;&gt;"",IF('09 - ADOPTION &amp; BENEFITS'!E34="","",'09 - ADOPTION &amp; BENEFITS'!E34),"")</f>
        <v/>
      </c>
      <c r="AG312" t="str">
        <f>IF('09 - ADOPTION &amp; BENEFITS'!A34&lt;&gt;"",IF('09 - ADOPTION &amp; BENEFITS'!I34="","",'09 - ADOPTION &amp; BENEFITS'!I34),"")</f>
        <v/>
      </c>
      <c r="AH312" t="str">
        <f>IF('09 - ADOPTION &amp; BENEFITS'!A34&lt;&gt;"",IF('09 - ADOPTION &amp; BENEFITS'!J34="","",'09 - ADOPTION &amp; BENEFITS'!J34),"")</f>
        <v/>
      </c>
      <c r="AI312" t="str">
        <f>IF('09 - ADOPTION &amp; BENEFITS'!A34&lt;&gt;"",IF('09 - ADOPTION &amp; BENEFITS'!C34="","",'09 - ADOPTION &amp; BENEFITS'!C34),"")</f>
        <v/>
      </c>
      <c r="AJ312" t="str">
        <f>IF('09 - ADOPTION &amp; BENEFITS'!A34&lt;&gt;"","09 - ADOPTION &amp; BENEFITS row 34","")</f>
        <v/>
      </c>
      <c r="AK312">
        <f>IF(AND('09 - ADOPTION &amp; BENEFITS'!A34&lt;&gt;"",OR('09 - ADOPTION &amp; BENEFITS'!C34&lt;&gt;"Closed",'09 - ADOPTION &amp; BENEFITS'!G34&lt;&gt;""),OR(AC312&lt;&gt;"",AD312&lt;&gt;"")),IF(Y312="Critical",1,IF(Y312="Review",2,3))*100000000+IF(ISNUMBER(AF312),AF312,99999)*1000+ROW(),999999999999)</f>
        <v>999999999999</v>
      </c>
      <c r="AL312">
        <f t="shared" si="30"/>
        <v>999999999999</v>
      </c>
      <c r="AM312">
        <f t="shared" si="34"/>
        <v>999999999999</v>
      </c>
      <c r="AN312">
        <f t="shared" si="33"/>
        <v>999999999999</v>
      </c>
      <c r="AO312">
        <f t="shared" si="31"/>
        <v>999999999999</v>
      </c>
      <c r="AP312">
        <f t="shared" si="29"/>
        <v>999999999999</v>
      </c>
      <c r="AQ312">
        <f t="shared" si="28"/>
        <v>999999999999</v>
      </c>
      <c r="AR312">
        <f t="shared" si="32"/>
        <v>0</v>
      </c>
    </row>
    <row r="313" spans="25:44">
      <c r="Y313" t="str">
        <f>IF('09 - ADOPTION &amp; BENEFITS'!A35&lt;&gt;"",IF('09 - ADOPTION &amp; BENEFITS'!F35="","",'09 - ADOPTION &amp; BENEFITS'!F35),"")</f>
        <v/>
      </c>
      <c r="Z313" t="str">
        <f>IF('09 - ADOPTION &amp; BENEFITS'!A35&lt;&gt;"","Adoption","")</f>
        <v/>
      </c>
      <c r="AA313" t="str">
        <f>IF('09 - ADOPTION &amp; BENEFITS'!A35&lt;&gt;"",IF('09 - ADOPTION &amp; BENEFITS'!A35="","",'09 - ADOPTION &amp; BENEFITS'!A35),"")</f>
        <v/>
      </c>
      <c r="AB313" t="str">
        <f>IF('09 - ADOPTION &amp; BENEFITS'!A35&lt;&gt;"",IF('09 - ADOPTION &amp; BENEFITS'!B35="","",'09 - ADOPTION &amp; BENEFITS'!B35),"")</f>
        <v/>
      </c>
      <c r="AC313" t="str">
        <f>IF('09 - ADOPTION &amp; BENEFITS'!A35&lt;&gt;"",IF('09 - ADOPTION &amp; BENEFITS'!G35="","",'09 - ADOPTION &amp; BENEFITS'!G35),"")</f>
        <v/>
      </c>
      <c r="AD313" t="str">
        <f>IF('09 - ADOPTION &amp; BENEFITS'!A35&lt;&gt;"",IF('09 - ADOPTION &amp; BENEFITS'!H35="","",'09 - ADOPTION &amp; BENEFITS'!H35),"")</f>
        <v/>
      </c>
      <c r="AE313" t="str">
        <f>IF('09 - ADOPTION &amp; BENEFITS'!A35&lt;&gt;"",IF('09 - ADOPTION &amp; BENEFITS'!D35="","",'09 - ADOPTION &amp; BENEFITS'!D35),"")</f>
        <v/>
      </c>
      <c r="AF313" s="17" t="str">
        <f>IF('09 - ADOPTION &amp; BENEFITS'!A35&lt;&gt;"",IF('09 - ADOPTION &amp; BENEFITS'!E35="","",'09 - ADOPTION &amp; BENEFITS'!E35),"")</f>
        <v/>
      </c>
      <c r="AG313" t="str">
        <f>IF('09 - ADOPTION &amp; BENEFITS'!A35&lt;&gt;"",IF('09 - ADOPTION &amp; BENEFITS'!I35="","",'09 - ADOPTION &amp; BENEFITS'!I35),"")</f>
        <v/>
      </c>
      <c r="AH313" t="str">
        <f>IF('09 - ADOPTION &amp; BENEFITS'!A35&lt;&gt;"",IF('09 - ADOPTION &amp; BENEFITS'!J35="","",'09 - ADOPTION &amp; BENEFITS'!J35),"")</f>
        <v/>
      </c>
      <c r="AI313" t="str">
        <f>IF('09 - ADOPTION &amp; BENEFITS'!A35&lt;&gt;"",IF('09 - ADOPTION &amp; BENEFITS'!C35="","",'09 - ADOPTION &amp; BENEFITS'!C35),"")</f>
        <v/>
      </c>
      <c r="AJ313" t="str">
        <f>IF('09 - ADOPTION &amp; BENEFITS'!A35&lt;&gt;"","09 - ADOPTION &amp; BENEFITS row 35","")</f>
        <v/>
      </c>
      <c r="AK313">
        <f>IF(AND('09 - ADOPTION &amp; BENEFITS'!A35&lt;&gt;"",OR('09 - ADOPTION &amp; BENEFITS'!C35&lt;&gt;"Closed",'09 - ADOPTION &amp; BENEFITS'!G35&lt;&gt;""),OR(AC313&lt;&gt;"",AD313&lt;&gt;"")),IF(Y313="Critical",1,IF(Y313="Review",2,3))*100000000+IF(ISNUMBER(AF313),AF313,99999)*1000+ROW(),999999999999)</f>
        <v>999999999999</v>
      </c>
      <c r="AL313">
        <f t="shared" si="30"/>
        <v>999999999999</v>
      </c>
      <c r="AM313">
        <f t="shared" si="34"/>
        <v>999999999999</v>
      </c>
      <c r="AN313">
        <f t="shared" si="33"/>
        <v>999999999999</v>
      </c>
      <c r="AO313">
        <f t="shared" si="31"/>
        <v>999999999999</v>
      </c>
      <c r="AP313">
        <f t="shared" si="29"/>
        <v>999999999999</v>
      </c>
      <c r="AQ313">
        <f t="shared" si="28"/>
        <v>999999999999</v>
      </c>
      <c r="AR313">
        <f t="shared" si="32"/>
        <v>0</v>
      </c>
    </row>
    <row r="314" spans="25:44">
      <c r="Y314" t="str">
        <f>IF('09 - ADOPTION &amp; BENEFITS'!A36&lt;&gt;"",IF('09 - ADOPTION &amp; BENEFITS'!F36="","",'09 - ADOPTION &amp; BENEFITS'!F36),"")</f>
        <v/>
      </c>
      <c r="Z314" t="str">
        <f>IF('09 - ADOPTION &amp; BENEFITS'!A36&lt;&gt;"","Adoption","")</f>
        <v/>
      </c>
      <c r="AA314" t="str">
        <f>IF('09 - ADOPTION &amp; BENEFITS'!A36&lt;&gt;"",IF('09 - ADOPTION &amp; BENEFITS'!A36="","",'09 - ADOPTION &amp; BENEFITS'!A36),"")</f>
        <v/>
      </c>
      <c r="AB314" t="str">
        <f>IF('09 - ADOPTION &amp; BENEFITS'!A36&lt;&gt;"",IF('09 - ADOPTION &amp; BENEFITS'!B36="","",'09 - ADOPTION &amp; BENEFITS'!B36),"")</f>
        <v/>
      </c>
      <c r="AC314" t="str">
        <f>IF('09 - ADOPTION &amp; BENEFITS'!A36&lt;&gt;"",IF('09 - ADOPTION &amp; BENEFITS'!G36="","",'09 - ADOPTION &amp; BENEFITS'!G36),"")</f>
        <v/>
      </c>
      <c r="AD314" t="str">
        <f>IF('09 - ADOPTION &amp; BENEFITS'!A36&lt;&gt;"",IF('09 - ADOPTION &amp; BENEFITS'!H36="","",'09 - ADOPTION &amp; BENEFITS'!H36),"")</f>
        <v/>
      </c>
      <c r="AE314" t="str">
        <f>IF('09 - ADOPTION &amp; BENEFITS'!A36&lt;&gt;"",IF('09 - ADOPTION &amp; BENEFITS'!D36="","",'09 - ADOPTION &amp; BENEFITS'!D36),"")</f>
        <v/>
      </c>
      <c r="AF314" s="17" t="str">
        <f>IF('09 - ADOPTION &amp; BENEFITS'!A36&lt;&gt;"",IF('09 - ADOPTION &amp; BENEFITS'!E36="","",'09 - ADOPTION &amp; BENEFITS'!E36),"")</f>
        <v/>
      </c>
      <c r="AG314" t="str">
        <f>IF('09 - ADOPTION &amp; BENEFITS'!A36&lt;&gt;"",IF('09 - ADOPTION &amp; BENEFITS'!I36="","",'09 - ADOPTION &amp; BENEFITS'!I36),"")</f>
        <v/>
      </c>
      <c r="AH314" t="str">
        <f>IF('09 - ADOPTION &amp; BENEFITS'!A36&lt;&gt;"",IF('09 - ADOPTION &amp; BENEFITS'!J36="","",'09 - ADOPTION &amp; BENEFITS'!J36),"")</f>
        <v/>
      </c>
      <c r="AI314" t="str">
        <f>IF('09 - ADOPTION &amp; BENEFITS'!A36&lt;&gt;"",IF('09 - ADOPTION &amp; BENEFITS'!C36="","",'09 - ADOPTION &amp; BENEFITS'!C36),"")</f>
        <v/>
      </c>
      <c r="AJ314" t="str">
        <f>IF('09 - ADOPTION &amp; BENEFITS'!A36&lt;&gt;"","09 - ADOPTION &amp; BENEFITS row 36","")</f>
        <v/>
      </c>
      <c r="AK314">
        <f>IF(AND('09 - ADOPTION &amp; BENEFITS'!A36&lt;&gt;"",OR('09 - ADOPTION &amp; BENEFITS'!C36&lt;&gt;"Closed",'09 - ADOPTION &amp; BENEFITS'!G36&lt;&gt;""),OR(AC314&lt;&gt;"",AD314&lt;&gt;"")),IF(Y314="Critical",1,IF(Y314="Review",2,3))*100000000+IF(ISNUMBER(AF314),AF314,99999)*1000+ROW(),999999999999)</f>
        <v>999999999999</v>
      </c>
      <c r="AL314">
        <f t="shared" si="30"/>
        <v>999999999999</v>
      </c>
      <c r="AM314">
        <f t="shared" si="34"/>
        <v>999999999999</v>
      </c>
      <c r="AN314">
        <f t="shared" si="33"/>
        <v>999999999999</v>
      </c>
      <c r="AO314">
        <f t="shared" si="31"/>
        <v>999999999999</v>
      </c>
      <c r="AP314">
        <f t="shared" si="29"/>
        <v>999999999999</v>
      </c>
      <c r="AQ314">
        <f t="shared" si="28"/>
        <v>999999999999</v>
      </c>
      <c r="AR314">
        <f t="shared" si="32"/>
        <v>0</v>
      </c>
    </row>
    <row r="315" spans="25:44">
      <c r="Y315" t="str">
        <f>IF('09 - ADOPTION &amp; BENEFITS'!A37&lt;&gt;"",IF('09 - ADOPTION &amp; BENEFITS'!F37="","",'09 - ADOPTION &amp; BENEFITS'!F37),"")</f>
        <v/>
      </c>
      <c r="Z315" t="str">
        <f>IF('09 - ADOPTION &amp; BENEFITS'!A37&lt;&gt;"","Adoption","")</f>
        <v/>
      </c>
      <c r="AA315" t="str">
        <f>IF('09 - ADOPTION &amp; BENEFITS'!A37&lt;&gt;"",IF('09 - ADOPTION &amp; BENEFITS'!A37="","",'09 - ADOPTION &amp; BENEFITS'!A37),"")</f>
        <v/>
      </c>
      <c r="AB315" t="str">
        <f>IF('09 - ADOPTION &amp; BENEFITS'!A37&lt;&gt;"",IF('09 - ADOPTION &amp; BENEFITS'!B37="","",'09 - ADOPTION &amp; BENEFITS'!B37),"")</f>
        <v/>
      </c>
      <c r="AC315" t="str">
        <f>IF('09 - ADOPTION &amp; BENEFITS'!A37&lt;&gt;"",IF('09 - ADOPTION &amp; BENEFITS'!G37="","",'09 - ADOPTION &amp; BENEFITS'!G37),"")</f>
        <v/>
      </c>
      <c r="AD315" t="str">
        <f>IF('09 - ADOPTION &amp; BENEFITS'!A37&lt;&gt;"",IF('09 - ADOPTION &amp; BENEFITS'!H37="","",'09 - ADOPTION &amp; BENEFITS'!H37),"")</f>
        <v/>
      </c>
      <c r="AE315" t="str">
        <f>IF('09 - ADOPTION &amp; BENEFITS'!A37&lt;&gt;"",IF('09 - ADOPTION &amp; BENEFITS'!D37="","",'09 - ADOPTION &amp; BENEFITS'!D37),"")</f>
        <v/>
      </c>
      <c r="AF315" s="17" t="str">
        <f>IF('09 - ADOPTION &amp; BENEFITS'!A37&lt;&gt;"",IF('09 - ADOPTION &amp; BENEFITS'!E37="","",'09 - ADOPTION &amp; BENEFITS'!E37),"")</f>
        <v/>
      </c>
      <c r="AG315" t="str">
        <f>IF('09 - ADOPTION &amp; BENEFITS'!A37&lt;&gt;"",IF('09 - ADOPTION &amp; BENEFITS'!I37="","",'09 - ADOPTION &amp; BENEFITS'!I37),"")</f>
        <v/>
      </c>
      <c r="AH315" t="str">
        <f>IF('09 - ADOPTION &amp; BENEFITS'!A37&lt;&gt;"",IF('09 - ADOPTION &amp; BENEFITS'!J37="","",'09 - ADOPTION &amp; BENEFITS'!J37),"")</f>
        <v/>
      </c>
      <c r="AI315" t="str">
        <f>IF('09 - ADOPTION &amp; BENEFITS'!A37&lt;&gt;"",IF('09 - ADOPTION &amp; BENEFITS'!C37="","",'09 - ADOPTION &amp; BENEFITS'!C37),"")</f>
        <v/>
      </c>
      <c r="AJ315" t="str">
        <f>IF('09 - ADOPTION &amp; BENEFITS'!A37&lt;&gt;"","09 - ADOPTION &amp; BENEFITS row 37","")</f>
        <v/>
      </c>
      <c r="AK315">
        <f>IF(AND('09 - ADOPTION &amp; BENEFITS'!A37&lt;&gt;"",OR('09 - ADOPTION &amp; BENEFITS'!C37&lt;&gt;"Closed",'09 - ADOPTION &amp; BENEFITS'!G37&lt;&gt;""),OR(AC315&lt;&gt;"",AD315&lt;&gt;"")),IF(Y315="Critical",1,IF(Y315="Review",2,3))*100000000+IF(ISNUMBER(AF315),AF315,99999)*1000+ROW(),999999999999)</f>
        <v>999999999999</v>
      </c>
      <c r="AL315">
        <f t="shared" si="30"/>
        <v>999999999999</v>
      </c>
      <c r="AM315">
        <f t="shared" si="34"/>
        <v>999999999999</v>
      </c>
      <c r="AN315">
        <f t="shared" si="33"/>
        <v>999999999999</v>
      </c>
      <c r="AO315">
        <f t="shared" si="31"/>
        <v>999999999999</v>
      </c>
      <c r="AP315">
        <f t="shared" si="29"/>
        <v>999999999999</v>
      </c>
      <c r="AQ315">
        <f t="shared" si="28"/>
        <v>999999999999</v>
      </c>
      <c r="AR315">
        <f t="shared" si="32"/>
        <v>0</v>
      </c>
    </row>
    <row r="316" spans="25:44">
      <c r="Y316" t="str">
        <f>IF('09 - ADOPTION &amp; BENEFITS'!A38&lt;&gt;"",IF('09 - ADOPTION &amp; BENEFITS'!F38="","",'09 - ADOPTION &amp; BENEFITS'!F38),"")</f>
        <v/>
      </c>
      <c r="Z316" t="str">
        <f>IF('09 - ADOPTION &amp; BENEFITS'!A38&lt;&gt;"","Adoption","")</f>
        <v/>
      </c>
      <c r="AA316" t="str">
        <f>IF('09 - ADOPTION &amp; BENEFITS'!A38&lt;&gt;"",IF('09 - ADOPTION &amp; BENEFITS'!A38="","",'09 - ADOPTION &amp; BENEFITS'!A38),"")</f>
        <v/>
      </c>
      <c r="AB316" t="str">
        <f>IF('09 - ADOPTION &amp; BENEFITS'!A38&lt;&gt;"",IF('09 - ADOPTION &amp; BENEFITS'!B38="","",'09 - ADOPTION &amp; BENEFITS'!B38),"")</f>
        <v/>
      </c>
      <c r="AC316" t="str">
        <f>IF('09 - ADOPTION &amp; BENEFITS'!A38&lt;&gt;"",IF('09 - ADOPTION &amp; BENEFITS'!G38="","",'09 - ADOPTION &amp; BENEFITS'!G38),"")</f>
        <v/>
      </c>
      <c r="AD316" t="str">
        <f>IF('09 - ADOPTION &amp; BENEFITS'!A38&lt;&gt;"",IF('09 - ADOPTION &amp; BENEFITS'!H38="","",'09 - ADOPTION &amp; BENEFITS'!H38),"")</f>
        <v/>
      </c>
      <c r="AE316" t="str">
        <f>IF('09 - ADOPTION &amp; BENEFITS'!A38&lt;&gt;"",IF('09 - ADOPTION &amp; BENEFITS'!D38="","",'09 - ADOPTION &amp; BENEFITS'!D38),"")</f>
        <v/>
      </c>
      <c r="AF316" s="17" t="str">
        <f>IF('09 - ADOPTION &amp; BENEFITS'!A38&lt;&gt;"",IF('09 - ADOPTION &amp; BENEFITS'!E38="","",'09 - ADOPTION &amp; BENEFITS'!E38),"")</f>
        <v/>
      </c>
      <c r="AG316" t="str">
        <f>IF('09 - ADOPTION &amp; BENEFITS'!A38&lt;&gt;"",IF('09 - ADOPTION &amp; BENEFITS'!I38="","",'09 - ADOPTION &amp; BENEFITS'!I38),"")</f>
        <v/>
      </c>
      <c r="AH316" t="str">
        <f>IF('09 - ADOPTION &amp; BENEFITS'!A38&lt;&gt;"",IF('09 - ADOPTION &amp; BENEFITS'!J38="","",'09 - ADOPTION &amp; BENEFITS'!J38),"")</f>
        <v/>
      </c>
      <c r="AI316" t="str">
        <f>IF('09 - ADOPTION &amp; BENEFITS'!A38&lt;&gt;"",IF('09 - ADOPTION &amp; BENEFITS'!C38="","",'09 - ADOPTION &amp; BENEFITS'!C38),"")</f>
        <v/>
      </c>
      <c r="AJ316" t="str">
        <f>IF('09 - ADOPTION &amp; BENEFITS'!A38&lt;&gt;"","09 - ADOPTION &amp; BENEFITS row 38","")</f>
        <v/>
      </c>
      <c r="AK316">
        <f>IF(AND('09 - ADOPTION &amp; BENEFITS'!A38&lt;&gt;"",OR('09 - ADOPTION &amp; BENEFITS'!C38&lt;&gt;"Closed",'09 - ADOPTION &amp; BENEFITS'!G38&lt;&gt;""),OR(AC316&lt;&gt;"",AD316&lt;&gt;"")),IF(Y316="Critical",1,IF(Y316="Review",2,3))*100000000+IF(ISNUMBER(AF316),AF316,99999)*1000+ROW(),999999999999)</f>
        <v>999999999999</v>
      </c>
      <c r="AL316">
        <f t="shared" si="30"/>
        <v>999999999999</v>
      </c>
      <c r="AM316">
        <f t="shared" si="34"/>
        <v>999999999999</v>
      </c>
      <c r="AN316">
        <f t="shared" si="33"/>
        <v>999999999999</v>
      </c>
      <c r="AO316">
        <f t="shared" si="31"/>
        <v>999999999999</v>
      </c>
      <c r="AP316">
        <f t="shared" si="29"/>
        <v>999999999999</v>
      </c>
      <c r="AQ316">
        <f t="shared" si="28"/>
        <v>999999999999</v>
      </c>
      <c r="AR316">
        <f t="shared" si="32"/>
        <v>0</v>
      </c>
    </row>
    <row r="317" spans="25:44">
      <c r="Y317" t="str">
        <f>IF('09 - ADOPTION &amp; BENEFITS'!A39&lt;&gt;"",IF('09 - ADOPTION &amp; BENEFITS'!F39="","",'09 - ADOPTION &amp; BENEFITS'!F39),"")</f>
        <v/>
      </c>
      <c r="Z317" t="str">
        <f>IF('09 - ADOPTION &amp; BENEFITS'!A39&lt;&gt;"","Adoption","")</f>
        <v/>
      </c>
      <c r="AA317" t="str">
        <f>IF('09 - ADOPTION &amp; BENEFITS'!A39&lt;&gt;"",IF('09 - ADOPTION &amp; BENEFITS'!A39="","",'09 - ADOPTION &amp; BENEFITS'!A39),"")</f>
        <v/>
      </c>
      <c r="AB317" t="str">
        <f>IF('09 - ADOPTION &amp; BENEFITS'!A39&lt;&gt;"",IF('09 - ADOPTION &amp; BENEFITS'!B39="","",'09 - ADOPTION &amp; BENEFITS'!B39),"")</f>
        <v/>
      </c>
      <c r="AC317" t="str">
        <f>IF('09 - ADOPTION &amp; BENEFITS'!A39&lt;&gt;"",IF('09 - ADOPTION &amp; BENEFITS'!G39="","",'09 - ADOPTION &amp; BENEFITS'!G39),"")</f>
        <v/>
      </c>
      <c r="AD317" t="str">
        <f>IF('09 - ADOPTION &amp; BENEFITS'!A39&lt;&gt;"",IF('09 - ADOPTION &amp; BENEFITS'!H39="","",'09 - ADOPTION &amp; BENEFITS'!H39),"")</f>
        <v/>
      </c>
      <c r="AE317" t="str">
        <f>IF('09 - ADOPTION &amp; BENEFITS'!A39&lt;&gt;"",IF('09 - ADOPTION &amp; BENEFITS'!D39="","",'09 - ADOPTION &amp; BENEFITS'!D39),"")</f>
        <v/>
      </c>
      <c r="AF317" s="17" t="str">
        <f>IF('09 - ADOPTION &amp; BENEFITS'!A39&lt;&gt;"",IF('09 - ADOPTION &amp; BENEFITS'!E39="","",'09 - ADOPTION &amp; BENEFITS'!E39),"")</f>
        <v/>
      </c>
      <c r="AG317" t="str">
        <f>IF('09 - ADOPTION &amp; BENEFITS'!A39&lt;&gt;"",IF('09 - ADOPTION &amp; BENEFITS'!I39="","",'09 - ADOPTION &amp; BENEFITS'!I39),"")</f>
        <v/>
      </c>
      <c r="AH317" t="str">
        <f>IF('09 - ADOPTION &amp; BENEFITS'!A39&lt;&gt;"",IF('09 - ADOPTION &amp; BENEFITS'!J39="","",'09 - ADOPTION &amp; BENEFITS'!J39),"")</f>
        <v/>
      </c>
      <c r="AI317" t="str">
        <f>IF('09 - ADOPTION &amp; BENEFITS'!A39&lt;&gt;"",IF('09 - ADOPTION &amp; BENEFITS'!C39="","",'09 - ADOPTION &amp; BENEFITS'!C39),"")</f>
        <v/>
      </c>
      <c r="AJ317" t="str">
        <f>IF('09 - ADOPTION &amp; BENEFITS'!A39&lt;&gt;"","09 - ADOPTION &amp; BENEFITS row 39","")</f>
        <v/>
      </c>
      <c r="AK317">
        <f>IF(AND('09 - ADOPTION &amp; BENEFITS'!A39&lt;&gt;"",OR('09 - ADOPTION &amp; BENEFITS'!C39&lt;&gt;"Closed",'09 - ADOPTION &amp; BENEFITS'!G39&lt;&gt;""),OR(AC317&lt;&gt;"",AD317&lt;&gt;"")),IF(Y317="Critical",1,IF(Y317="Review",2,3))*100000000+IF(ISNUMBER(AF317),AF317,99999)*1000+ROW(),999999999999)</f>
        <v>999999999999</v>
      </c>
      <c r="AL317">
        <f t="shared" si="30"/>
        <v>999999999999</v>
      </c>
      <c r="AM317">
        <f t="shared" si="34"/>
        <v>999999999999</v>
      </c>
      <c r="AN317">
        <f t="shared" si="33"/>
        <v>999999999999</v>
      </c>
      <c r="AO317">
        <f t="shared" si="31"/>
        <v>999999999999</v>
      </c>
      <c r="AP317">
        <f t="shared" si="29"/>
        <v>999999999999</v>
      </c>
      <c r="AQ317">
        <f t="shared" si="28"/>
        <v>999999999999</v>
      </c>
      <c r="AR317">
        <f t="shared" si="32"/>
        <v>0</v>
      </c>
    </row>
    <row r="318" spans="25:44">
      <c r="Y318" t="str">
        <f>IF('09 - ADOPTION &amp; BENEFITS'!A40&lt;&gt;"",IF('09 - ADOPTION &amp; BENEFITS'!F40="","",'09 - ADOPTION &amp; BENEFITS'!F40),"")</f>
        <v/>
      </c>
      <c r="Z318" t="str">
        <f>IF('09 - ADOPTION &amp; BENEFITS'!A40&lt;&gt;"","Adoption","")</f>
        <v/>
      </c>
      <c r="AA318" t="str">
        <f>IF('09 - ADOPTION &amp; BENEFITS'!A40&lt;&gt;"",IF('09 - ADOPTION &amp; BENEFITS'!A40="","",'09 - ADOPTION &amp; BENEFITS'!A40),"")</f>
        <v/>
      </c>
      <c r="AB318" t="str">
        <f>IF('09 - ADOPTION &amp; BENEFITS'!A40&lt;&gt;"",IF('09 - ADOPTION &amp; BENEFITS'!B40="","",'09 - ADOPTION &amp; BENEFITS'!B40),"")</f>
        <v/>
      </c>
      <c r="AC318" t="str">
        <f>IF('09 - ADOPTION &amp; BENEFITS'!A40&lt;&gt;"",IF('09 - ADOPTION &amp; BENEFITS'!G40="","",'09 - ADOPTION &amp; BENEFITS'!G40),"")</f>
        <v/>
      </c>
      <c r="AD318" t="str">
        <f>IF('09 - ADOPTION &amp; BENEFITS'!A40&lt;&gt;"",IF('09 - ADOPTION &amp; BENEFITS'!H40="","",'09 - ADOPTION &amp; BENEFITS'!H40),"")</f>
        <v/>
      </c>
      <c r="AE318" t="str">
        <f>IF('09 - ADOPTION &amp; BENEFITS'!A40&lt;&gt;"",IF('09 - ADOPTION &amp; BENEFITS'!D40="","",'09 - ADOPTION &amp; BENEFITS'!D40),"")</f>
        <v/>
      </c>
      <c r="AF318" s="17" t="str">
        <f>IF('09 - ADOPTION &amp; BENEFITS'!A40&lt;&gt;"",IF('09 - ADOPTION &amp; BENEFITS'!E40="","",'09 - ADOPTION &amp; BENEFITS'!E40),"")</f>
        <v/>
      </c>
      <c r="AG318" t="str">
        <f>IF('09 - ADOPTION &amp; BENEFITS'!A40&lt;&gt;"",IF('09 - ADOPTION &amp; BENEFITS'!I40="","",'09 - ADOPTION &amp; BENEFITS'!I40),"")</f>
        <v/>
      </c>
      <c r="AH318" t="str">
        <f>IF('09 - ADOPTION &amp; BENEFITS'!A40&lt;&gt;"",IF('09 - ADOPTION &amp; BENEFITS'!J40="","",'09 - ADOPTION &amp; BENEFITS'!J40),"")</f>
        <v/>
      </c>
      <c r="AI318" t="str">
        <f>IF('09 - ADOPTION &amp; BENEFITS'!A40&lt;&gt;"",IF('09 - ADOPTION &amp; BENEFITS'!C40="","",'09 - ADOPTION &amp; BENEFITS'!C40),"")</f>
        <v/>
      </c>
      <c r="AJ318" t="str">
        <f>IF('09 - ADOPTION &amp; BENEFITS'!A40&lt;&gt;"","09 - ADOPTION &amp; BENEFITS row 40","")</f>
        <v/>
      </c>
      <c r="AK318">
        <f>IF(AND('09 - ADOPTION &amp; BENEFITS'!A40&lt;&gt;"",OR('09 - ADOPTION &amp; BENEFITS'!C40&lt;&gt;"Closed",'09 - ADOPTION &amp; BENEFITS'!G40&lt;&gt;""),OR(AC318&lt;&gt;"",AD318&lt;&gt;"")),IF(Y318="Critical",1,IF(Y318="Review",2,3))*100000000+IF(ISNUMBER(AF318),AF318,99999)*1000+ROW(),999999999999)</f>
        <v>999999999999</v>
      </c>
      <c r="AL318">
        <f t="shared" si="30"/>
        <v>999999999999</v>
      </c>
      <c r="AM318">
        <f t="shared" si="34"/>
        <v>999999999999</v>
      </c>
      <c r="AN318">
        <f t="shared" si="33"/>
        <v>999999999999</v>
      </c>
      <c r="AO318">
        <f t="shared" si="31"/>
        <v>999999999999</v>
      </c>
      <c r="AP318">
        <f t="shared" si="29"/>
        <v>999999999999</v>
      </c>
      <c r="AQ318">
        <f t="shared" si="28"/>
        <v>999999999999</v>
      </c>
      <c r="AR318">
        <f t="shared" si="32"/>
        <v>0</v>
      </c>
    </row>
    <row r="319" spans="25:44">
      <c r="Y319" t="str">
        <f>IF('09 - ADOPTION &amp; BENEFITS'!A41&lt;&gt;"",IF('09 - ADOPTION &amp; BENEFITS'!F41="","",'09 - ADOPTION &amp; BENEFITS'!F41),"")</f>
        <v/>
      </c>
      <c r="Z319" t="str">
        <f>IF('09 - ADOPTION &amp; BENEFITS'!A41&lt;&gt;"","Adoption","")</f>
        <v/>
      </c>
      <c r="AA319" t="str">
        <f>IF('09 - ADOPTION &amp; BENEFITS'!A41&lt;&gt;"",IF('09 - ADOPTION &amp; BENEFITS'!A41="","",'09 - ADOPTION &amp; BENEFITS'!A41),"")</f>
        <v/>
      </c>
      <c r="AB319" t="str">
        <f>IF('09 - ADOPTION &amp; BENEFITS'!A41&lt;&gt;"",IF('09 - ADOPTION &amp; BENEFITS'!B41="","",'09 - ADOPTION &amp; BENEFITS'!B41),"")</f>
        <v/>
      </c>
      <c r="AC319" t="str">
        <f>IF('09 - ADOPTION &amp; BENEFITS'!A41&lt;&gt;"",IF('09 - ADOPTION &amp; BENEFITS'!G41="","",'09 - ADOPTION &amp; BENEFITS'!G41),"")</f>
        <v/>
      </c>
      <c r="AD319" t="str">
        <f>IF('09 - ADOPTION &amp; BENEFITS'!A41&lt;&gt;"",IF('09 - ADOPTION &amp; BENEFITS'!H41="","",'09 - ADOPTION &amp; BENEFITS'!H41),"")</f>
        <v/>
      </c>
      <c r="AE319" t="str">
        <f>IF('09 - ADOPTION &amp; BENEFITS'!A41&lt;&gt;"",IF('09 - ADOPTION &amp; BENEFITS'!D41="","",'09 - ADOPTION &amp; BENEFITS'!D41),"")</f>
        <v/>
      </c>
      <c r="AF319" s="17" t="str">
        <f>IF('09 - ADOPTION &amp; BENEFITS'!A41&lt;&gt;"",IF('09 - ADOPTION &amp; BENEFITS'!E41="","",'09 - ADOPTION &amp; BENEFITS'!E41),"")</f>
        <v/>
      </c>
      <c r="AG319" t="str">
        <f>IF('09 - ADOPTION &amp; BENEFITS'!A41&lt;&gt;"",IF('09 - ADOPTION &amp; BENEFITS'!I41="","",'09 - ADOPTION &amp; BENEFITS'!I41),"")</f>
        <v/>
      </c>
      <c r="AH319" t="str">
        <f>IF('09 - ADOPTION &amp; BENEFITS'!A41&lt;&gt;"",IF('09 - ADOPTION &amp; BENEFITS'!J41="","",'09 - ADOPTION &amp; BENEFITS'!J41),"")</f>
        <v/>
      </c>
      <c r="AI319" t="str">
        <f>IF('09 - ADOPTION &amp; BENEFITS'!A41&lt;&gt;"",IF('09 - ADOPTION &amp; BENEFITS'!C41="","",'09 - ADOPTION &amp; BENEFITS'!C41),"")</f>
        <v/>
      </c>
      <c r="AJ319" t="str">
        <f>IF('09 - ADOPTION &amp; BENEFITS'!A41&lt;&gt;"","09 - ADOPTION &amp; BENEFITS row 41","")</f>
        <v/>
      </c>
      <c r="AK319">
        <f>IF(AND('09 - ADOPTION &amp; BENEFITS'!A41&lt;&gt;"",OR('09 - ADOPTION &amp; BENEFITS'!C41&lt;&gt;"Closed",'09 - ADOPTION &amp; BENEFITS'!G41&lt;&gt;""),OR(AC319&lt;&gt;"",AD319&lt;&gt;"")),IF(Y319="Critical",1,IF(Y319="Review",2,3))*100000000+IF(ISNUMBER(AF319),AF319,99999)*1000+ROW(),999999999999)</f>
        <v>999999999999</v>
      </c>
      <c r="AL319">
        <f t="shared" si="30"/>
        <v>999999999999</v>
      </c>
      <c r="AM319">
        <f t="shared" si="34"/>
        <v>999999999999</v>
      </c>
      <c r="AN319">
        <f t="shared" ref="AN319:AN350" si="35">IF(AND(ISNUMBER(AK319),FALSE),AK319,999999999999)</f>
        <v>999999999999</v>
      </c>
      <c r="AO319">
        <f t="shared" si="31"/>
        <v>999999999999</v>
      </c>
      <c r="AP319">
        <f t="shared" si="29"/>
        <v>999999999999</v>
      </c>
      <c r="AQ319">
        <f t="shared" si="28"/>
        <v>999999999999</v>
      </c>
      <c r="AR319">
        <f t="shared" si="32"/>
        <v>0</v>
      </c>
    </row>
    <row r="320" spans="25:44">
      <c r="Y320" t="str">
        <f>IF('09 - ADOPTION &amp; BENEFITS'!A42&lt;&gt;"",IF('09 - ADOPTION &amp; BENEFITS'!F42="","",'09 - ADOPTION &amp; BENEFITS'!F42),"")</f>
        <v/>
      </c>
      <c r="Z320" t="str">
        <f>IF('09 - ADOPTION &amp; BENEFITS'!A42&lt;&gt;"","Adoption","")</f>
        <v/>
      </c>
      <c r="AA320" t="str">
        <f>IF('09 - ADOPTION &amp; BENEFITS'!A42&lt;&gt;"",IF('09 - ADOPTION &amp; BENEFITS'!A42="","",'09 - ADOPTION &amp; BENEFITS'!A42),"")</f>
        <v/>
      </c>
      <c r="AB320" t="str">
        <f>IF('09 - ADOPTION &amp; BENEFITS'!A42&lt;&gt;"",IF('09 - ADOPTION &amp; BENEFITS'!B42="","",'09 - ADOPTION &amp; BENEFITS'!B42),"")</f>
        <v/>
      </c>
      <c r="AC320" t="str">
        <f>IF('09 - ADOPTION &amp; BENEFITS'!A42&lt;&gt;"",IF('09 - ADOPTION &amp; BENEFITS'!G42="","",'09 - ADOPTION &amp; BENEFITS'!G42),"")</f>
        <v/>
      </c>
      <c r="AD320" t="str">
        <f>IF('09 - ADOPTION &amp; BENEFITS'!A42&lt;&gt;"",IF('09 - ADOPTION &amp; BENEFITS'!H42="","",'09 - ADOPTION &amp; BENEFITS'!H42),"")</f>
        <v/>
      </c>
      <c r="AE320" t="str">
        <f>IF('09 - ADOPTION &amp; BENEFITS'!A42&lt;&gt;"",IF('09 - ADOPTION &amp; BENEFITS'!D42="","",'09 - ADOPTION &amp; BENEFITS'!D42),"")</f>
        <v/>
      </c>
      <c r="AF320" s="17" t="str">
        <f>IF('09 - ADOPTION &amp; BENEFITS'!A42&lt;&gt;"",IF('09 - ADOPTION &amp; BENEFITS'!E42="","",'09 - ADOPTION &amp; BENEFITS'!E42),"")</f>
        <v/>
      </c>
      <c r="AG320" t="str">
        <f>IF('09 - ADOPTION &amp; BENEFITS'!A42&lt;&gt;"",IF('09 - ADOPTION &amp; BENEFITS'!I42="","",'09 - ADOPTION &amp; BENEFITS'!I42),"")</f>
        <v/>
      </c>
      <c r="AH320" t="str">
        <f>IF('09 - ADOPTION &amp; BENEFITS'!A42&lt;&gt;"",IF('09 - ADOPTION &amp; BENEFITS'!J42="","",'09 - ADOPTION &amp; BENEFITS'!J42),"")</f>
        <v/>
      </c>
      <c r="AI320" t="str">
        <f>IF('09 - ADOPTION &amp; BENEFITS'!A42&lt;&gt;"",IF('09 - ADOPTION &amp; BENEFITS'!C42="","",'09 - ADOPTION &amp; BENEFITS'!C42),"")</f>
        <v/>
      </c>
      <c r="AJ320" t="str">
        <f>IF('09 - ADOPTION &amp; BENEFITS'!A42&lt;&gt;"","09 - ADOPTION &amp; BENEFITS row 42","")</f>
        <v/>
      </c>
      <c r="AK320">
        <f>IF(AND('09 - ADOPTION &amp; BENEFITS'!A42&lt;&gt;"",OR('09 - ADOPTION &amp; BENEFITS'!C42&lt;&gt;"Closed",'09 - ADOPTION &amp; BENEFITS'!G42&lt;&gt;""),OR(AC320&lt;&gt;"",AD320&lt;&gt;"")),IF(Y320="Critical",1,IF(Y320="Review",2,3))*100000000+IF(ISNUMBER(AF320),AF320,99999)*1000+ROW(),999999999999)</f>
        <v>999999999999</v>
      </c>
      <c r="AL320">
        <f t="shared" si="30"/>
        <v>999999999999</v>
      </c>
      <c r="AM320">
        <f t="shared" si="34"/>
        <v>999999999999</v>
      </c>
      <c r="AN320">
        <f t="shared" si="35"/>
        <v>999999999999</v>
      </c>
      <c r="AO320">
        <f t="shared" si="31"/>
        <v>999999999999</v>
      </c>
      <c r="AP320">
        <f t="shared" si="29"/>
        <v>999999999999</v>
      </c>
      <c r="AQ320">
        <f t="shared" si="28"/>
        <v>999999999999</v>
      </c>
      <c r="AR320">
        <f t="shared" si="32"/>
        <v>0</v>
      </c>
    </row>
    <row r="321" spans="25:44">
      <c r="Y321" t="str">
        <f>IF('09 - ADOPTION &amp; BENEFITS'!A43&lt;&gt;"",IF('09 - ADOPTION &amp; BENEFITS'!F43="","",'09 - ADOPTION &amp; BENEFITS'!F43),"")</f>
        <v/>
      </c>
      <c r="Z321" t="str">
        <f>IF('09 - ADOPTION &amp; BENEFITS'!A43&lt;&gt;"","Adoption","")</f>
        <v/>
      </c>
      <c r="AA321" t="str">
        <f>IF('09 - ADOPTION &amp; BENEFITS'!A43&lt;&gt;"",IF('09 - ADOPTION &amp; BENEFITS'!A43="","",'09 - ADOPTION &amp; BENEFITS'!A43),"")</f>
        <v/>
      </c>
      <c r="AB321" t="str">
        <f>IF('09 - ADOPTION &amp; BENEFITS'!A43&lt;&gt;"",IF('09 - ADOPTION &amp; BENEFITS'!B43="","",'09 - ADOPTION &amp; BENEFITS'!B43),"")</f>
        <v/>
      </c>
      <c r="AC321" t="str">
        <f>IF('09 - ADOPTION &amp; BENEFITS'!A43&lt;&gt;"",IF('09 - ADOPTION &amp; BENEFITS'!G43="","",'09 - ADOPTION &amp; BENEFITS'!G43),"")</f>
        <v/>
      </c>
      <c r="AD321" t="str">
        <f>IF('09 - ADOPTION &amp; BENEFITS'!A43&lt;&gt;"",IF('09 - ADOPTION &amp; BENEFITS'!H43="","",'09 - ADOPTION &amp; BENEFITS'!H43),"")</f>
        <v/>
      </c>
      <c r="AE321" t="str">
        <f>IF('09 - ADOPTION &amp; BENEFITS'!A43&lt;&gt;"",IF('09 - ADOPTION &amp; BENEFITS'!D43="","",'09 - ADOPTION &amp; BENEFITS'!D43),"")</f>
        <v/>
      </c>
      <c r="AF321" s="17" t="str">
        <f>IF('09 - ADOPTION &amp; BENEFITS'!A43&lt;&gt;"",IF('09 - ADOPTION &amp; BENEFITS'!E43="","",'09 - ADOPTION &amp; BENEFITS'!E43),"")</f>
        <v/>
      </c>
      <c r="AG321" t="str">
        <f>IF('09 - ADOPTION &amp; BENEFITS'!A43&lt;&gt;"",IF('09 - ADOPTION &amp; BENEFITS'!I43="","",'09 - ADOPTION &amp; BENEFITS'!I43),"")</f>
        <v/>
      </c>
      <c r="AH321" t="str">
        <f>IF('09 - ADOPTION &amp; BENEFITS'!A43&lt;&gt;"",IF('09 - ADOPTION &amp; BENEFITS'!J43="","",'09 - ADOPTION &amp; BENEFITS'!J43),"")</f>
        <v/>
      </c>
      <c r="AI321" t="str">
        <f>IF('09 - ADOPTION &amp; BENEFITS'!A43&lt;&gt;"",IF('09 - ADOPTION &amp; BENEFITS'!C43="","",'09 - ADOPTION &amp; BENEFITS'!C43),"")</f>
        <v/>
      </c>
      <c r="AJ321" t="str">
        <f>IF('09 - ADOPTION &amp; BENEFITS'!A43&lt;&gt;"","09 - ADOPTION &amp; BENEFITS row 43","")</f>
        <v/>
      </c>
      <c r="AK321">
        <f>IF(AND('09 - ADOPTION &amp; BENEFITS'!A43&lt;&gt;"",OR('09 - ADOPTION &amp; BENEFITS'!C43&lt;&gt;"Closed",'09 - ADOPTION &amp; BENEFITS'!G43&lt;&gt;""),OR(AC321&lt;&gt;"",AD321&lt;&gt;"")),IF(Y321="Critical",1,IF(Y321="Review",2,3))*100000000+IF(ISNUMBER(AF321),AF321,99999)*1000+ROW(),999999999999)</f>
        <v>999999999999</v>
      </c>
      <c r="AL321">
        <f t="shared" si="30"/>
        <v>999999999999</v>
      </c>
      <c r="AM321">
        <f t="shared" si="34"/>
        <v>999999999999</v>
      </c>
      <c r="AN321">
        <f t="shared" si="35"/>
        <v>999999999999</v>
      </c>
      <c r="AO321">
        <f t="shared" si="31"/>
        <v>999999999999</v>
      </c>
      <c r="AP321">
        <f t="shared" si="29"/>
        <v>999999999999</v>
      </c>
      <c r="AQ321">
        <f t="shared" si="28"/>
        <v>999999999999</v>
      </c>
      <c r="AR321">
        <f t="shared" si="32"/>
        <v>0</v>
      </c>
    </row>
    <row r="322" spans="25:44">
      <c r="Y322" t="str">
        <f>IF('09 - ADOPTION &amp; BENEFITS'!A44&lt;&gt;"",IF('09 - ADOPTION &amp; BENEFITS'!F44="","",'09 - ADOPTION &amp; BENEFITS'!F44),"")</f>
        <v/>
      </c>
      <c r="Z322" t="str">
        <f>IF('09 - ADOPTION &amp; BENEFITS'!A44&lt;&gt;"","Adoption","")</f>
        <v/>
      </c>
      <c r="AA322" t="str">
        <f>IF('09 - ADOPTION &amp; BENEFITS'!A44&lt;&gt;"",IF('09 - ADOPTION &amp; BENEFITS'!A44="","",'09 - ADOPTION &amp; BENEFITS'!A44),"")</f>
        <v/>
      </c>
      <c r="AB322" t="str">
        <f>IF('09 - ADOPTION &amp; BENEFITS'!A44&lt;&gt;"",IF('09 - ADOPTION &amp; BENEFITS'!B44="","",'09 - ADOPTION &amp; BENEFITS'!B44),"")</f>
        <v/>
      </c>
      <c r="AC322" t="str">
        <f>IF('09 - ADOPTION &amp; BENEFITS'!A44&lt;&gt;"",IF('09 - ADOPTION &amp; BENEFITS'!G44="","",'09 - ADOPTION &amp; BENEFITS'!G44),"")</f>
        <v/>
      </c>
      <c r="AD322" t="str">
        <f>IF('09 - ADOPTION &amp; BENEFITS'!A44&lt;&gt;"",IF('09 - ADOPTION &amp; BENEFITS'!H44="","",'09 - ADOPTION &amp; BENEFITS'!H44),"")</f>
        <v/>
      </c>
      <c r="AE322" t="str">
        <f>IF('09 - ADOPTION &amp; BENEFITS'!A44&lt;&gt;"",IF('09 - ADOPTION &amp; BENEFITS'!D44="","",'09 - ADOPTION &amp; BENEFITS'!D44),"")</f>
        <v/>
      </c>
      <c r="AF322" s="17" t="str">
        <f>IF('09 - ADOPTION &amp; BENEFITS'!A44&lt;&gt;"",IF('09 - ADOPTION &amp; BENEFITS'!E44="","",'09 - ADOPTION &amp; BENEFITS'!E44),"")</f>
        <v/>
      </c>
      <c r="AG322" t="str">
        <f>IF('09 - ADOPTION &amp; BENEFITS'!A44&lt;&gt;"",IF('09 - ADOPTION &amp; BENEFITS'!I44="","",'09 - ADOPTION &amp; BENEFITS'!I44),"")</f>
        <v/>
      </c>
      <c r="AH322" t="str">
        <f>IF('09 - ADOPTION &amp; BENEFITS'!A44&lt;&gt;"",IF('09 - ADOPTION &amp; BENEFITS'!J44="","",'09 - ADOPTION &amp; BENEFITS'!J44),"")</f>
        <v/>
      </c>
      <c r="AI322" t="str">
        <f>IF('09 - ADOPTION &amp; BENEFITS'!A44&lt;&gt;"",IF('09 - ADOPTION &amp; BENEFITS'!C44="","",'09 - ADOPTION &amp; BENEFITS'!C44),"")</f>
        <v/>
      </c>
      <c r="AJ322" t="str">
        <f>IF('09 - ADOPTION &amp; BENEFITS'!A44&lt;&gt;"","09 - ADOPTION &amp; BENEFITS row 44","")</f>
        <v/>
      </c>
      <c r="AK322">
        <f>IF(AND('09 - ADOPTION &amp; BENEFITS'!A44&lt;&gt;"",OR('09 - ADOPTION &amp; BENEFITS'!C44&lt;&gt;"Closed",'09 - ADOPTION &amp; BENEFITS'!G44&lt;&gt;""),OR(AC322&lt;&gt;"",AD322&lt;&gt;"")),IF(Y322="Critical",1,IF(Y322="Review",2,3))*100000000+IF(ISNUMBER(AF322),AF322,99999)*1000+ROW(),999999999999)</f>
        <v>999999999999</v>
      </c>
      <c r="AL322">
        <f t="shared" si="30"/>
        <v>999999999999</v>
      </c>
      <c r="AM322">
        <f t="shared" si="34"/>
        <v>999999999999</v>
      </c>
      <c r="AN322">
        <f t="shared" si="35"/>
        <v>999999999999</v>
      </c>
      <c r="AO322">
        <f t="shared" si="31"/>
        <v>999999999999</v>
      </c>
      <c r="AP322">
        <f t="shared" si="29"/>
        <v>999999999999</v>
      </c>
      <c r="AQ322">
        <f t="shared" si="28"/>
        <v>999999999999</v>
      </c>
      <c r="AR322">
        <f t="shared" si="32"/>
        <v>0</v>
      </c>
    </row>
    <row r="323" spans="25:44">
      <c r="Y323" t="str">
        <f>IF('09 - ADOPTION &amp; BENEFITS'!A45&lt;&gt;"",IF('09 - ADOPTION &amp; BENEFITS'!F45="","",'09 - ADOPTION &amp; BENEFITS'!F45),"")</f>
        <v/>
      </c>
      <c r="Z323" t="str">
        <f>IF('09 - ADOPTION &amp; BENEFITS'!A45&lt;&gt;"","Adoption","")</f>
        <v/>
      </c>
      <c r="AA323" t="str">
        <f>IF('09 - ADOPTION &amp; BENEFITS'!A45&lt;&gt;"",IF('09 - ADOPTION &amp; BENEFITS'!A45="","",'09 - ADOPTION &amp; BENEFITS'!A45),"")</f>
        <v/>
      </c>
      <c r="AB323" t="str">
        <f>IF('09 - ADOPTION &amp; BENEFITS'!A45&lt;&gt;"",IF('09 - ADOPTION &amp; BENEFITS'!B45="","",'09 - ADOPTION &amp; BENEFITS'!B45),"")</f>
        <v/>
      </c>
      <c r="AC323" t="str">
        <f>IF('09 - ADOPTION &amp; BENEFITS'!A45&lt;&gt;"",IF('09 - ADOPTION &amp; BENEFITS'!G45="","",'09 - ADOPTION &amp; BENEFITS'!G45),"")</f>
        <v/>
      </c>
      <c r="AD323" t="str">
        <f>IF('09 - ADOPTION &amp; BENEFITS'!A45&lt;&gt;"",IF('09 - ADOPTION &amp; BENEFITS'!H45="","",'09 - ADOPTION &amp; BENEFITS'!H45),"")</f>
        <v/>
      </c>
      <c r="AE323" t="str">
        <f>IF('09 - ADOPTION &amp; BENEFITS'!A45&lt;&gt;"",IF('09 - ADOPTION &amp; BENEFITS'!D45="","",'09 - ADOPTION &amp; BENEFITS'!D45),"")</f>
        <v/>
      </c>
      <c r="AF323" s="17" t="str">
        <f>IF('09 - ADOPTION &amp; BENEFITS'!A45&lt;&gt;"",IF('09 - ADOPTION &amp; BENEFITS'!E45="","",'09 - ADOPTION &amp; BENEFITS'!E45),"")</f>
        <v/>
      </c>
      <c r="AG323" t="str">
        <f>IF('09 - ADOPTION &amp; BENEFITS'!A45&lt;&gt;"",IF('09 - ADOPTION &amp; BENEFITS'!I45="","",'09 - ADOPTION &amp; BENEFITS'!I45),"")</f>
        <v/>
      </c>
      <c r="AH323" t="str">
        <f>IF('09 - ADOPTION &amp; BENEFITS'!A45&lt;&gt;"",IF('09 - ADOPTION &amp; BENEFITS'!J45="","",'09 - ADOPTION &amp; BENEFITS'!J45),"")</f>
        <v/>
      </c>
      <c r="AI323" t="str">
        <f>IF('09 - ADOPTION &amp; BENEFITS'!A45&lt;&gt;"",IF('09 - ADOPTION &amp; BENEFITS'!C45="","",'09 - ADOPTION &amp; BENEFITS'!C45),"")</f>
        <v/>
      </c>
      <c r="AJ323" t="str">
        <f>IF('09 - ADOPTION &amp; BENEFITS'!A45&lt;&gt;"","09 - ADOPTION &amp; BENEFITS row 45","")</f>
        <v/>
      </c>
      <c r="AK323">
        <f>IF(AND('09 - ADOPTION &amp; BENEFITS'!A45&lt;&gt;"",OR('09 - ADOPTION &amp; BENEFITS'!C45&lt;&gt;"Closed",'09 - ADOPTION &amp; BENEFITS'!G45&lt;&gt;""),OR(AC323&lt;&gt;"",AD323&lt;&gt;"")),IF(Y323="Critical",1,IF(Y323="Review",2,3))*100000000+IF(ISNUMBER(AF323),AF323,99999)*1000+ROW(),999999999999)</f>
        <v>999999999999</v>
      </c>
      <c r="AL323">
        <f t="shared" si="30"/>
        <v>999999999999</v>
      </c>
      <c r="AM323">
        <f t="shared" si="34"/>
        <v>999999999999</v>
      </c>
      <c r="AN323">
        <f t="shared" si="35"/>
        <v>999999999999</v>
      </c>
      <c r="AO323">
        <f t="shared" si="31"/>
        <v>999999999999</v>
      </c>
      <c r="AP323">
        <f t="shared" si="29"/>
        <v>999999999999</v>
      </c>
      <c r="AQ323">
        <f t="shared" si="28"/>
        <v>999999999999</v>
      </c>
      <c r="AR323">
        <f t="shared" si="32"/>
        <v>0</v>
      </c>
    </row>
    <row r="324" spans="25:44">
      <c r="Y324" t="str">
        <f>IF('09 - ADOPTION &amp; BENEFITS'!A46&lt;&gt;"",IF('09 - ADOPTION &amp; BENEFITS'!F46="","",'09 - ADOPTION &amp; BENEFITS'!F46),"")</f>
        <v/>
      </c>
      <c r="Z324" t="str">
        <f>IF('09 - ADOPTION &amp; BENEFITS'!A46&lt;&gt;"","Adoption","")</f>
        <v/>
      </c>
      <c r="AA324" t="str">
        <f>IF('09 - ADOPTION &amp; BENEFITS'!A46&lt;&gt;"",IF('09 - ADOPTION &amp; BENEFITS'!A46="","",'09 - ADOPTION &amp; BENEFITS'!A46),"")</f>
        <v/>
      </c>
      <c r="AB324" t="str">
        <f>IF('09 - ADOPTION &amp; BENEFITS'!A46&lt;&gt;"",IF('09 - ADOPTION &amp; BENEFITS'!B46="","",'09 - ADOPTION &amp; BENEFITS'!B46),"")</f>
        <v/>
      </c>
      <c r="AC324" t="str">
        <f>IF('09 - ADOPTION &amp; BENEFITS'!A46&lt;&gt;"",IF('09 - ADOPTION &amp; BENEFITS'!G46="","",'09 - ADOPTION &amp; BENEFITS'!G46),"")</f>
        <v/>
      </c>
      <c r="AD324" t="str">
        <f>IF('09 - ADOPTION &amp; BENEFITS'!A46&lt;&gt;"",IF('09 - ADOPTION &amp; BENEFITS'!H46="","",'09 - ADOPTION &amp; BENEFITS'!H46),"")</f>
        <v/>
      </c>
      <c r="AE324" t="str">
        <f>IF('09 - ADOPTION &amp; BENEFITS'!A46&lt;&gt;"",IF('09 - ADOPTION &amp; BENEFITS'!D46="","",'09 - ADOPTION &amp; BENEFITS'!D46),"")</f>
        <v/>
      </c>
      <c r="AF324" s="17" t="str">
        <f>IF('09 - ADOPTION &amp; BENEFITS'!A46&lt;&gt;"",IF('09 - ADOPTION &amp; BENEFITS'!E46="","",'09 - ADOPTION &amp; BENEFITS'!E46),"")</f>
        <v/>
      </c>
      <c r="AG324" t="str">
        <f>IF('09 - ADOPTION &amp; BENEFITS'!A46&lt;&gt;"",IF('09 - ADOPTION &amp; BENEFITS'!I46="","",'09 - ADOPTION &amp; BENEFITS'!I46),"")</f>
        <v/>
      </c>
      <c r="AH324" t="str">
        <f>IF('09 - ADOPTION &amp; BENEFITS'!A46&lt;&gt;"",IF('09 - ADOPTION &amp; BENEFITS'!J46="","",'09 - ADOPTION &amp; BENEFITS'!J46),"")</f>
        <v/>
      </c>
      <c r="AI324" t="str">
        <f>IF('09 - ADOPTION &amp; BENEFITS'!A46&lt;&gt;"",IF('09 - ADOPTION &amp; BENEFITS'!C46="","",'09 - ADOPTION &amp; BENEFITS'!C46),"")</f>
        <v/>
      </c>
      <c r="AJ324" t="str">
        <f>IF('09 - ADOPTION &amp; BENEFITS'!A46&lt;&gt;"","09 - ADOPTION &amp; BENEFITS row 46","")</f>
        <v/>
      </c>
      <c r="AK324">
        <f>IF(AND('09 - ADOPTION &amp; BENEFITS'!A46&lt;&gt;"",OR('09 - ADOPTION &amp; BENEFITS'!C46&lt;&gt;"Closed",'09 - ADOPTION &amp; BENEFITS'!G46&lt;&gt;""),OR(AC324&lt;&gt;"",AD324&lt;&gt;"")),IF(Y324="Critical",1,IF(Y324="Review",2,3))*100000000+IF(ISNUMBER(AF324),AF324,99999)*1000+ROW(),999999999999)</f>
        <v>999999999999</v>
      </c>
      <c r="AL324">
        <f t="shared" si="30"/>
        <v>999999999999</v>
      </c>
      <c r="AM324">
        <f t="shared" si="34"/>
        <v>999999999999</v>
      </c>
      <c r="AN324">
        <f t="shared" si="35"/>
        <v>999999999999</v>
      </c>
      <c r="AO324">
        <f t="shared" si="31"/>
        <v>999999999999</v>
      </c>
      <c r="AP324">
        <f t="shared" si="29"/>
        <v>999999999999</v>
      </c>
      <c r="AQ324">
        <f t="shared" si="28"/>
        <v>999999999999</v>
      </c>
      <c r="AR324">
        <f t="shared" si="32"/>
        <v>0</v>
      </c>
    </row>
    <row r="325" spans="25:44">
      <c r="Y325" t="str">
        <f>IF('09 - ADOPTION &amp; BENEFITS'!A47&lt;&gt;"",IF('09 - ADOPTION &amp; BENEFITS'!F47="","",'09 - ADOPTION &amp; BENEFITS'!F47),"")</f>
        <v/>
      </c>
      <c r="Z325" t="str">
        <f>IF('09 - ADOPTION &amp; BENEFITS'!A47&lt;&gt;"","Adoption","")</f>
        <v/>
      </c>
      <c r="AA325" t="str">
        <f>IF('09 - ADOPTION &amp; BENEFITS'!A47&lt;&gt;"",IF('09 - ADOPTION &amp; BENEFITS'!A47="","",'09 - ADOPTION &amp; BENEFITS'!A47),"")</f>
        <v/>
      </c>
      <c r="AB325" t="str">
        <f>IF('09 - ADOPTION &amp; BENEFITS'!A47&lt;&gt;"",IF('09 - ADOPTION &amp; BENEFITS'!B47="","",'09 - ADOPTION &amp; BENEFITS'!B47),"")</f>
        <v/>
      </c>
      <c r="AC325" t="str">
        <f>IF('09 - ADOPTION &amp; BENEFITS'!A47&lt;&gt;"",IF('09 - ADOPTION &amp; BENEFITS'!G47="","",'09 - ADOPTION &amp; BENEFITS'!G47),"")</f>
        <v/>
      </c>
      <c r="AD325" t="str">
        <f>IF('09 - ADOPTION &amp; BENEFITS'!A47&lt;&gt;"",IF('09 - ADOPTION &amp; BENEFITS'!H47="","",'09 - ADOPTION &amp; BENEFITS'!H47),"")</f>
        <v/>
      </c>
      <c r="AE325" t="str">
        <f>IF('09 - ADOPTION &amp; BENEFITS'!A47&lt;&gt;"",IF('09 - ADOPTION &amp; BENEFITS'!D47="","",'09 - ADOPTION &amp; BENEFITS'!D47),"")</f>
        <v/>
      </c>
      <c r="AF325" s="17" t="str">
        <f>IF('09 - ADOPTION &amp; BENEFITS'!A47&lt;&gt;"",IF('09 - ADOPTION &amp; BENEFITS'!E47="","",'09 - ADOPTION &amp; BENEFITS'!E47),"")</f>
        <v/>
      </c>
      <c r="AG325" t="str">
        <f>IF('09 - ADOPTION &amp; BENEFITS'!A47&lt;&gt;"",IF('09 - ADOPTION &amp; BENEFITS'!I47="","",'09 - ADOPTION &amp; BENEFITS'!I47),"")</f>
        <v/>
      </c>
      <c r="AH325" t="str">
        <f>IF('09 - ADOPTION &amp; BENEFITS'!A47&lt;&gt;"",IF('09 - ADOPTION &amp; BENEFITS'!J47="","",'09 - ADOPTION &amp; BENEFITS'!J47),"")</f>
        <v/>
      </c>
      <c r="AI325" t="str">
        <f>IF('09 - ADOPTION &amp; BENEFITS'!A47&lt;&gt;"",IF('09 - ADOPTION &amp; BENEFITS'!C47="","",'09 - ADOPTION &amp; BENEFITS'!C47),"")</f>
        <v/>
      </c>
      <c r="AJ325" t="str">
        <f>IF('09 - ADOPTION &amp; BENEFITS'!A47&lt;&gt;"","09 - ADOPTION &amp; BENEFITS row 47","")</f>
        <v/>
      </c>
      <c r="AK325">
        <f>IF(AND('09 - ADOPTION &amp; BENEFITS'!A47&lt;&gt;"",OR('09 - ADOPTION &amp; BENEFITS'!C47&lt;&gt;"Closed",'09 - ADOPTION &amp; BENEFITS'!G47&lt;&gt;""),OR(AC325&lt;&gt;"",AD325&lt;&gt;"")),IF(Y325="Critical",1,IF(Y325="Review",2,3))*100000000+IF(ISNUMBER(AF325),AF325,99999)*1000+ROW(),999999999999)</f>
        <v>999999999999</v>
      </c>
      <c r="AL325">
        <f t="shared" si="30"/>
        <v>999999999999</v>
      </c>
      <c r="AM325">
        <f t="shared" si="34"/>
        <v>999999999999</v>
      </c>
      <c r="AN325">
        <f t="shared" si="35"/>
        <v>999999999999</v>
      </c>
      <c r="AO325">
        <f t="shared" si="31"/>
        <v>999999999999</v>
      </c>
      <c r="AP325">
        <f t="shared" si="29"/>
        <v>999999999999</v>
      </c>
      <c r="AQ325">
        <f t="shared" si="28"/>
        <v>999999999999</v>
      </c>
      <c r="AR325">
        <f t="shared" si="32"/>
        <v>0</v>
      </c>
    </row>
    <row r="326" spans="25:44">
      <c r="Y326" t="str">
        <f>IF('09 - ADOPTION &amp; BENEFITS'!A48&lt;&gt;"",IF('09 - ADOPTION &amp; BENEFITS'!F48="","",'09 - ADOPTION &amp; BENEFITS'!F48),"")</f>
        <v/>
      </c>
      <c r="Z326" t="str">
        <f>IF('09 - ADOPTION &amp; BENEFITS'!A48&lt;&gt;"","Adoption","")</f>
        <v/>
      </c>
      <c r="AA326" t="str">
        <f>IF('09 - ADOPTION &amp; BENEFITS'!A48&lt;&gt;"",IF('09 - ADOPTION &amp; BENEFITS'!A48="","",'09 - ADOPTION &amp; BENEFITS'!A48),"")</f>
        <v/>
      </c>
      <c r="AB326" t="str">
        <f>IF('09 - ADOPTION &amp; BENEFITS'!A48&lt;&gt;"",IF('09 - ADOPTION &amp; BENEFITS'!B48="","",'09 - ADOPTION &amp; BENEFITS'!B48),"")</f>
        <v/>
      </c>
      <c r="AC326" t="str">
        <f>IF('09 - ADOPTION &amp; BENEFITS'!A48&lt;&gt;"",IF('09 - ADOPTION &amp; BENEFITS'!G48="","",'09 - ADOPTION &amp; BENEFITS'!G48),"")</f>
        <v/>
      </c>
      <c r="AD326" t="str">
        <f>IF('09 - ADOPTION &amp; BENEFITS'!A48&lt;&gt;"",IF('09 - ADOPTION &amp; BENEFITS'!H48="","",'09 - ADOPTION &amp; BENEFITS'!H48),"")</f>
        <v/>
      </c>
      <c r="AE326" t="str">
        <f>IF('09 - ADOPTION &amp; BENEFITS'!A48&lt;&gt;"",IF('09 - ADOPTION &amp; BENEFITS'!D48="","",'09 - ADOPTION &amp; BENEFITS'!D48),"")</f>
        <v/>
      </c>
      <c r="AF326" s="17" t="str">
        <f>IF('09 - ADOPTION &amp; BENEFITS'!A48&lt;&gt;"",IF('09 - ADOPTION &amp; BENEFITS'!E48="","",'09 - ADOPTION &amp; BENEFITS'!E48),"")</f>
        <v/>
      </c>
      <c r="AG326" t="str">
        <f>IF('09 - ADOPTION &amp; BENEFITS'!A48&lt;&gt;"",IF('09 - ADOPTION &amp; BENEFITS'!I48="","",'09 - ADOPTION &amp; BENEFITS'!I48),"")</f>
        <v/>
      </c>
      <c r="AH326" t="str">
        <f>IF('09 - ADOPTION &amp; BENEFITS'!A48&lt;&gt;"",IF('09 - ADOPTION &amp; BENEFITS'!J48="","",'09 - ADOPTION &amp; BENEFITS'!J48),"")</f>
        <v/>
      </c>
      <c r="AI326" t="str">
        <f>IF('09 - ADOPTION &amp; BENEFITS'!A48&lt;&gt;"",IF('09 - ADOPTION &amp; BENEFITS'!C48="","",'09 - ADOPTION &amp; BENEFITS'!C48),"")</f>
        <v/>
      </c>
      <c r="AJ326" t="str">
        <f>IF('09 - ADOPTION &amp; BENEFITS'!A48&lt;&gt;"","09 - ADOPTION &amp; BENEFITS row 48","")</f>
        <v/>
      </c>
      <c r="AK326">
        <f>IF(AND('09 - ADOPTION &amp; BENEFITS'!A48&lt;&gt;"",OR('09 - ADOPTION &amp; BENEFITS'!C48&lt;&gt;"Closed",'09 - ADOPTION &amp; BENEFITS'!G48&lt;&gt;""),OR(AC326&lt;&gt;"",AD326&lt;&gt;"")),IF(Y326="Critical",1,IF(Y326="Review",2,3))*100000000+IF(ISNUMBER(AF326),AF326,99999)*1000+ROW(),999999999999)</f>
        <v>999999999999</v>
      </c>
      <c r="AL326">
        <f t="shared" si="30"/>
        <v>999999999999</v>
      </c>
      <c r="AM326">
        <f t="shared" si="34"/>
        <v>999999999999</v>
      </c>
      <c r="AN326">
        <f t="shared" si="35"/>
        <v>999999999999</v>
      </c>
      <c r="AO326">
        <f t="shared" si="31"/>
        <v>999999999999</v>
      </c>
      <c r="AP326">
        <f t="shared" si="29"/>
        <v>999999999999</v>
      </c>
      <c r="AQ326">
        <f t="shared" si="28"/>
        <v>999999999999</v>
      </c>
      <c r="AR326">
        <f t="shared" si="32"/>
        <v>0</v>
      </c>
    </row>
    <row r="327" spans="25:44">
      <c r="Y327" t="str">
        <f>IF('09 - ADOPTION &amp; BENEFITS'!A49&lt;&gt;"",IF('09 - ADOPTION &amp; BENEFITS'!F49="","",'09 - ADOPTION &amp; BENEFITS'!F49),"")</f>
        <v/>
      </c>
      <c r="Z327" t="str">
        <f>IF('09 - ADOPTION &amp; BENEFITS'!A49&lt;&gt;"","Adoption","")</f>
        <v/>
      </c>
      <c r="AA327" t="str">
        <f>IF('09 - ADOPTION &amp; BENEFITS'!A49&lt;&gt;"",IF('09 - ADOPTION &amp; BENEFITS'!A49="","",'09 - ADOPTION &amp; BENEFITS'!A49),"")</f>
        <v/>
      </c>
      <c r="AB327" t="str">
        <f>IF('09 - ADOPTION &amp; BENEFITS'!A49&lt;&gt;"",IF('09 - ADOPTION &amp; BENEFITS'!B49="","",'09 - ADOPTION &amp; BENEFITS'!B49),"")</f>
        <v/>
      </c>
      <c r="AC327" t="str">
        <f>IF('09 - ADOPTION &amp; BENEFITS'!A49&lt;&gt;"",IF('09 - ADOPTION &amp; BENEFITS'!G49="","",'09 - ADOPTION &amp; BENEFITS'!G49),"")</f>
        <v/>
      </c>
      <c r="AD327" t="str">
        <f>IF('09 - ADOPTION &amp; BENEFITS'!A49&lt;&gt;"",IF('09 - ADOPTION &amp; BENEFITS'!H49="","",'09 - ADOPTION &amp; BENEFITS'!H49),"")</f>
        <v/>
      </c>
      <c r="AE327" t="str">
        <f>IF('09 - ADOPTION &amp; BENEFITS'!A49&lt;&gt;"",IF('09 - ADOPTION &amp; BENEFITS'!D49="","",'09 - ADOPTION &amp; BENEFITS'!D49),"")</f>
        <v/>
      </c>
      <c r="AF327" s="17" t="str">
        <f>IF('09 - ADOPTION &amp; BENEFITS'!A49&lt;&gt;"",IF('09 - ADOPTION &amp; BENEFITS'!E49="","",'09 - ADOPTION &amp; BENEFITS'!E49),"")</f>
        <v/>
      </c>
      <c r="AG327" t="str">
        <f>IF('09 - ADOPTION &amp; BENEFITS'!A49&lt;&gt;"",IF('09 - ADOPTION &amp; BENEFITS'!I49="","",'09 - ADOPTION &amp; BENEFITS'!I49),"")</f>
        <v/>
      </c>
      <c r="AH327" t="str">
        <f>IF('09 - ADOPTION &amp; BENEFITS'!A49&lt;&gt;"",IF('09 - ADOPTION &amp; BENEFITS'!J49="","",'09 - ADOPTION &amp; BENEFITS'!J49),"")</f>
        <v/>
      </c>
      <c r="AI327" t="str">
        <f>IF('09 - ADOPTION &amp; BENEFITS'!A49&lt;&gt;"",IF('09 - ADOPTION &amp; BENEFITS'!C49="","",'09 - ADOPTION &amp; BENEFITS'!C49),"")</f>
        <v/>
      </c>
      <c r="AJ327" t="str">
        <f>IF('09 - ADOPTION &amp; BENEFITS'!A49&lt;&gt;"","09 - ADOPTION &amp; BENEFITS row 49","")</f>
        <v/>
      </c>
      <c r="AK327">
        <f>IF(AND('09 - ADOPTION &amp; BENEFITS'!A49&lt;&gt;"",OR('09 - ADOPTION &amp; BENEFITS'!C49&lt;&gt;"Closed",'09 - ADOPTION &amp; BENEFITS'!G49&lt;&gt;""),OR(AC327&lt;&gt;"",AD327&lt;&gt;"")),IF(Y327="Critical",1,IF(Y327="Review",2,3))*100000000+IF(ISNUMBER(AF327),AF327,99999)*1000+ROW(),999999999999)</f>
        <v>999999999999</v>
      </c>
      <c r="AL327">
        <f t="shared" si="30"/>
        <v>999999999999</v>
      </c>
      <c r="AM327">
        <f t="shared" si="34"/>
        <v>999999999999</v>
      </c>
      <c r="AN327">
        <f t="shared" si="35"/>
        <v>999999999999</v>
      </c>
      <c r="AO327">
        <f t="shared" si="31"/>
        <v>999999999999</v>
      </c>
      <c r="AP327">
        <f t="shared" si="29"/>
        <v>999999999999</v>
      </c>
      <c r="AQ327">
        <f t="shared" si="28"/>
        <v>999999999999</v>
      </c>
      <c r="AR327">
        <f t="shared" si="32"/>
        <v>0</v>
      </c>
    </row>
    <row r="328" spans="25:44">
      <c r="Y328" t="str">
        <f>IF('09 - ADOPTION &amp; BENEFITS'!A50&lt;&gt;"",IF('09 - ADOPTION &amp; BENEFITS'!F50="","",'09 - ADOPTION &amp; BENEFITS'!F50),"")</f>
        <v/>
      </c>
      <c r="Z328" t="str">
        <f>IF('09 - ADOPTION &amp; BENEFITS'!A50&lt;&gt;"","Adoption","")</f>
        <v/>
      </c>
      <c r="AA328" t="str">
        <f>IF('09 - ADOPTION &amp; BENEFITS'!A50&lt;&gt;"",IF('09 - ADOPTION &amp; BENEFITS'!A50="","",'09 - ADOPTION &amp; BENEFITS'!A50),"")</f>
        <v/>
      </c>
      <c r="AB328" t="str">
        <f>IF('09 - ADOPTION &amp; BENEFITS'!A50&lt;&gt;"",IF('09 - ADOPTION &amp; BENEFITS'!B50="","",'09 - ADOPTION &amp; BENEFITS'!B50),"")</f>
        <v/>
      </c>
      <c r="AC328" t="str">
        <f>IF('09 - ADOPTION &amp; BENEFITS'!A50&lt;&gt;"",IF('09 - ADOPTION &amp; BENEFITS'!G50="","",'09 - ADOPTION &amp; BENEFITS'!G50),"")</f>
        <v/>
      </c>
      <c r="AD328" t="str">
        <f>IF('09 - ADOPTION &amp; BENEFITS'!A50&lt;&gt;"",IF('09 - ADOPTION &amp; BENEFITS'!H50="","",'09 - ADOPTION &amp; BENEFITS'!H50),"")</f>
        <v/>
      </c>
      <c r="AE328" t="str">
        <f>IF('09 - ADOPTION &amp; BENEFITS'!A50&lt;&gt;"",IF('09 - ADOPTION &amp; BENEFITS'!D50="","",'09 - ADOPTION &amp; BENEFITS'!D50),"")</f>
        <v/>
      </c>
      <c r="AF328" s="17" t="str">
        <f>IF('09 - ADOPTION &amp; BENEFITS'!A50&lt;&gt;"",IF('09 - ADOPTION &amp; BENEFITS'!E50="","",'09 - ADOPTION &amp; BENEFITS'!E50),"")</f>
        <v/>
      </c>
      <c r="AG328" t="str">
        <f>IF('09 - ADOPTION &amp; BENEFITS'!A50&lt;&gt;"",IF('09 - ADOPTION &amp; BENEFITS'!I50="","",'09 - ADOPTION &amp; BENEFITS'!I50),"")</f>
        <v/>
      </c>
      <c r="AH328" t="str">
        <f>IF('09 - ADOPTION &amp; BENEFITS'!A50&lt;&gt;"",IF('09 - ADOPTION &amp; BENEFITS'!J50="","",'09 - ADOPTION &amp; BENEFITS'!J50),"")</f>
        <v/>
      </c>
      <c r="AI328" t="str">
        <f>IF('09 - ADOPTION &amp; BENEFITS'!A50&lt;&gt;"",IF('09 - ADOPTION &amp; BENEFITS'!C50="","",'09 - ADOPTION &amp; BENEFITS'!C50),"")</f>
        <v/>
      </c>
      <c r="AJ328" t="str">
        <f>IF('09 - ADOPTION &amp; BENEFITS'!A50&lt;&gt;"","09 - ADOPTION &amp; BENEFITS row 50","")</f>
        <v/>
      </c>
      <c r="AK328">
        <f>IF(AND('09 - ADOPTION &amp; BENEFITS'!A50&lt;&gt;"",OR('09 - ADOPTION &amp; BENEFITS'!C50&lt;&gt;"Closed",'09 - ADOPTION &amp; BENEFITS'!G50&lt;&gt;""),OR(AC328&lt;&gt;"",AD328&lt;&gt;"")),IF(Y328="Critical",1,IF(Y328="Review",2,3))*100000000+IF(ISNUMBER(AF328),AF328,99999)*1000+ROW(),999999999999)</f>
        <v>999999999999</v>
      </c>
      <c r="AL328">
        <f t="shared" si="30"/>
        <v>999999999999</v>
      </c>
      <c r="AM328">
        <f t="shared" si="34"/>
        <v>999999999999</v>
      </c>
      <c r="AN328">
        <f t="shared" si="35"/>
        <v>999999999999</v>
      </c>
      <c r="AO328">
        <f t="shared" si="31"/>
        <v>999999999999</v>
      </c>
      <c r="AP328">
        <f t="shared" si="29"/>
        <v>999999999999</v>
      </c>
      <c r="AQ328">
        <f t="shared" si="28"/>
        <v>999999999999</v>
      </c>
      <c r="AR328">
        <f t="shared" si="32"/>
        <v>0</v>
      </c>
    </row>
    <row r="329" spans="25:44">
      <c r="Y329" t="str">
        <f>IF('09 - ADOPTION &amp; BENEFITS'!A51&lt;&gt;"",IF('09 - ADOPTION &amp; BENEFITS'!F51="","",'09 - ADOPTION &amp; BENEFITS'!F51),"")</f>
        <v/>
      </c>
      <c r="Z329" t="str">
        <f>IF('09 - ADOPTION &amp; BENEFITS'!A51&lt;&gt;"","Adoption","")</f>
        <v/>
      </c>
      <c r="AA329" t="str">
        <f>IF('09 - ADOPTION &amp; BENEFITS'!A51&lt;&gt;"",IF('09 - ADOPTION &amp; BENEFITS'!A51="","",'09 - ADOPTION &amp; BENEFITS'!A51),"")</f>
        <v/>
      </c>
      <c r="AB329" t="str">
        <f>IF('09 - ADOPTION &amp; BENEFITS'!A51&lt;&gt;"",IF('09 - ADOPTION &amp; BENEFITS'!B51="","",'09 - ADOPTION &amp; BENEFITS'!B51),"")</f>
        <v/>
      </c>
      <c r="AC329" t="str">
        <f>IF('09 - ADOPTION &amp; BENEFITS'!A51&lt;&gt;"",IF('09 - ADOPTION &amp; BENEFITS'!G51="","",'09 - ADOPTION &amp; BENEFITS'!G51),"")</f>
        <v/>
      </c>
      <c r="AD329" t="str">
        <f>IF('09 - ADOPTION &amp; BENEFITS'!A51&lt;&gt;"",IF('09 - ADOPTION &amp; BENEFITS'!H51="","",'09 - ADOPTION &amp; BENEFITS'!H51),"")</f>
        <v/>
      </c>
      <c r="AE329" t="str">
        <f>IF('09 - ADOPTION &amp; BENEFITS'!A51&lt;&gt;"",IF('09 - ADOPTION &amp; BENEFITS'!D51="","",'09 - ADOPTION &amp; BENEFITS'!D51),"")</f>
        <v/>
      </c>
      <c r="AF329" s="17" t="str">
        <f>IF('09 - ADOPTION &amp; BENEFITS'!A51&lt;&gt;"",IF('09 - ADOPTION &amp; BENEFITS'!E51="","",'09 - ADOPTION &amp; BENEFITS'!E51),"")</f>
        <v/>
      </c>
      <c r="AG329" t="str">
        <f>IF('09 - ADOPTION &amp; BENEFITS'!A51&lt;&gt;"",IF('09 - ADOPTION &amp; BENEFITS'!I51="","",'09 - ADOPTION &amp; BENEFITS'!I51),"")</f>
        <v/>
      </c>
      <c r="AH329" t="str">
        <f>IF('09 - ADOPTION &amp; BENEFITS'!A51&lt;&gt;"",IF('09 - ADOPTION &amp; BENEFITS'!J51="","",'09 - ADOPTION &amp; BENEFITS'!J51),"")</f>
        <v/>
      </c>
      <c r="AI329" t="str">
        <f>IF('09 - ADOPTION &amp; BENEFITS'!A51&lt;&gt;"",IF('09 - ADOPTION &amp; BENEFITS'!C51="","",'09 - ADOPTION &amp; BENEFITS'!C51),"")</f>
        <v/>
      </c>
      <c r="AJ329" t="str">
        <f>IF('09 - ADOPTION &amp; BENEFITS'!A51&lt;&gt;"","09 - ADOPTION &amp; BENEFITS row 51","")</f>
        <v/>
      </c>
      <c r="AK329">
        <f>IF(AND('09 - ADOPTION &amp; BENEFITS'!A51&lt;&gt;"",OR('09 - ADOPTION &amp; BENEFITS'!C51&lt;&gt;"Closed",'09 - ADOPTION &amp; BENEFITS'!G51&lt;&gt;""),OR(AC329&lt;&gt;"",AD329&lt;&gt;"")),IF(Y329="Critical",1,IF(Y329="Review",2,3))*100000000+IF(ISNUMBER(AF329),AF329,99999)*1000+ROW(),999999999999)</f>
        <v>999999999999</v>
      </c>
      <c r="AL329">
        <f t="shared" si="30"/>
        <v>999999999999</v>
      </c>
      <c r="AM329">
        <f t="shared" si="34"/>
        <v>999999999999</v>
      </c>
      <c r="AN329">
        <f t="shared" si="35"/>
        <v>999999999999</v>
      </c>
      <c r="AO329">
        <f t="shared" si="31"/>
        <v>999999999999</v>
      </c>
      <c r="AP329">
        <f t="shared" si="29"/>
        <v>999999999999</v>
      </c>
      <c r="AQ329">
        <f t="shared" ref="AQ329:AQ392" si="36">IF(AND(ISNUMBER(AK329),Z329="Dependencies",FALSE),AK329,999999999999)</f>
        <v>999999999999</v>
      </c>
      <c r="AR329">
        <f t="shared" si="32"/>
        <v>0</v>
      </c>
    </row>
    <row r="330" spans="25:44">
      <c r="Y330" t="str">
        <f>IF('09 - ADOPTION &amp; BENEFITS'!A52&lt;&gt;"",IF('09 - ADOPTION &amp; BENEFITS'!F52="","",'09 - ADOPTION &amp; BENEFITS'!F52),"")</f>
        <v/>
      </c>
      <c r="Z330" t="str">
        <f>IF('09 - ADOPTION &amp; BENEFITS'!A52&lt;&gt;"","Adoption","")</f>
        <v/>
      </c>
      <c r="AA330" t="str">
        <f>IF('09 - ADOPTION &amp; BENEFITS'!A52&lt;&gt;"",IF('09 - ADOPTION &amp; BENEFITS'!A52="","",'09 - ADOPTION &amp; BENEFITS'!A52),"")</f>
        <v/>
      </c>
      <c r="AB330" t="str">
        <f>IF('09 - ADOPTION &amp; BENEFITS'!A52&lt;&gt;"",IF('09 - ADOPTION &amp; BENEFITS'!B52="","",'09 - ADOPTION &amp; BENEFITS'!B52),"")</f>
        <v/>
      </c>
      <c r="AC330" t="str">
        <f>IF('09 - ADOPTION &amp; BENEFITS'!A52&lt;&gt;"",IF('09 - ADOPTION &amp; BENEFITS'!G52="","",'09 - ADOPTION &amp; BENEFITS'!G52),"")</f>
        <v/>
      </c>
      <c r="AD330" t="str">
        <f>IF('09 - ADOPTION &amp; BENEFITS'!A52&lt;&gt;"",IF('09 - ADOPTION &amp; BENEFITS'!H52="","",'09 - ADOPTION &amp; BENEFITS'!H52),"")</f>
        <v/>
      </c>
      <c r="AE330" t="str">
        <f>IF('09 - ADOPTION &amp; BENEFITS'!A52&lt;&gt;"",IF('09 - ADOPTION &amp; BENEFITS'!D52="","",'09 - ADOPTION &amp; BENEFITS'!D52),"")</f>
        <v/>
      </c>
      <c r="AF330" s="17" t="str">
        <f>IF('09 - ADOPTION &amp; BENEFITS'!A52&lt;&gt;"",IF('09 - ADOPTION &amp; BENEFITS'!E52="","",'09 - ADOPTION &amp; BENEFITS'!E52),"")</f>
        <v/>
      </c>
      <c r="AG330" t="str">
        <f>IF('09 - ADOPTION &amp; BENEFITS'!A52&lt;&gt;"",IF('09 - ADOPTION &amp; BENEFITS'!I52="","",'09 - ADOPTION &amp; BENEFITS'!I52),"")</f>
        <v/>
      </c>
      <c r="AH330" t="str">
        <f>IF('09 - ADOPTION &amp; BENEFITS'!A52&lt;&gt;"",IF('09 - ADOPTION &amp; BENEFITS'!J52="","",'09 - ADOPTION &amp; BENEFITS'!J52),"")</f>
        <v/>
      </c>
      <c r="AI330" t="str">
        <f>IF('09 - ADOPTION &amp; BENEFITS'!A52&lt;&gt;"",IF('09 - ADOPTION &amp; BENEFITS'!C52="","",'09 - ADOPTION &amp; BENEFITS'!C52),"")</f>
        <v/>
      </c>
      <c r="AJ330" t="str">
        <f>IF('09 - ADOPTION &amp; BENEFITS'!A52&lt;&gt;"","09 - ADOPTION &amp; BENEFITS row 52","")</f>
        <v/>
      </c>
      <c r="AK330">
        <f>IF(AND('09 - ADOPTION &amp; BENEFITS'!A52&lt;&gt;"",OR('09 - ADOPTION &amp; BENEFITS'!C52&lt;&gt;"Closed",'09 - ADOPTION &amp; BENEFITS'!G52&lt;&gt;""),OR(AC330&lt;&gt;"",AD330&lt;&gt;"")),IF(Y330="Critical",1,IF(Y330="Review",2,3))*100000000+IF(ISNUMBER(AF330),AF330,99999)*1000+ROW(),999999999999)</f>
        <v>999999999999</v>
      </c>
      <c r="AL330">
        <f t="shared" si="30"/>
        <v>999999999999</v>
      </c>
      <c r="AM330">
        <f t="shared" si="34"/>
        <v>999999999999</v>
      </c>
      <c r="AN330">
        <f t="shared" si="35"/>
        <v>999999999999</v>
      </c>
      <c r="AO330">
        <f t="shared" si="31"/>
        <v>999999999999</v>
      </c>
      <c r="AP330">
        <f t="shared" si="29"/>
        <v>999999999999</v>
      </c>
      <c r="AQ330">
        <f t="shared" si="36"/>
        <v>999999999999</v>
      </c>
      <c r="AR330">
        <f t="shared" si="32"/>
        <v>0</v>
      </c>
    </row>
    <row r="331" spans="25:44">
      <c r="Y331" t="str">
        <f>IF('09 - ADOPTION &amp; BENEFITS'!A53&lt;&gt;"",IF('09 - ADOPTION &amp; BENEFITS'!F53="","",'09 - ADOPTION &amp; BENEFITS'!F53),"")</f>
        <v/>
      </c>
      <c r="Z331" t="str">
        <f>IF('09 - ADOPTION &amp; BENEFITS'!A53&lt;&gt;"","Adoption","")</f>
        <v/>
      </c>
      <c r="AA331" t="str">
        <f>IF('09 - ADOPTION &amp; BENEFITS'!A53&lt;&gt;"",IF('09 - ADOPTION &amp; BENEFITS'!A53="","",'09 - ADOPTION &amp; BENEFITS'!A53),"")</f>
        <v/>
      </c>
      <c r="AB331" t="str">
        <f>IF('09 - ADOPTION &amp; BENEFITS'!A53&lt;&gt;"",IF('09 - ADOPTION &amp; BENEFITS'!B53="","",'09 - ADOPTION &amp; BENEFITS'!B53),"")</f>
        <v/>
      </c>
      <c r="AC331" t="str">
        <f>IF('09 - ADOPTION &amp; BENEFITS'!A53&lt;&gt;"",IF('09 - ADOPTION &amp; BENEFITS'!G53="","",'09 - ADOPTION &amp; BENEFITS'!G53),"")</f>
        <v/>
      </c>
      <c r="AD331" t="str">
        <f>IF('09 - ADOPTION &amp; BENEFITS'!A53&lt;&gt;"",IF('09 - ADOPTION &amp; BENEFITS'!H53="","",'09 - ADOPTION &amp; BENEFITS'!H53),"")</f>
        <v/>
      </c>
      <c r="AE331" t="str">
        <f>IF('09 - ADOPTION &amp; BENEFITS'!A53&lt;&gt;"",IF('09 - ADOPTION &amp; BENEFITS'!D53="","",'09 - ADOPTION &amp; BENEFITS'!D53),"")</f>
        <v/>
      </c>
      <c r="AF331" s="17" t="str">
        <f>IF('09 - ADOPTION &amp; BENEFITS'!A53&lt;&gt;"",IF('09 - ADOPTION &amp; BENEFITS'!E53="","",'09 - ADOPTION &amp; BENEFITS'!E53),"")</f>
        <v/>
      </c>
      <c r="AG331" t="str">
        <f>IF('09 - ADOPTION &amp; BENEFITS'!A53&lt;&gt;"",IF('09 - ADOPTION &amp; BENEFITS'!I53="","",'09 - ADOPTION &amp; BENEFITS'!I53),"")</f>
        <v/>
      </c>
      <c r="AH331" t="str">
        <f>IF('09 - ADOPTION &amp; BENEFITS'!A53&lt;&gt;"",IF('09 - ADOPTION &amp; BENEFITS'!J53="","",'09 - ADOPTION &amp; BENEFITS'!J53),"")</f>
        <v/>
      </c>
      <c r="AI331" t="str">
        <f>IF('09 - ADOPTION &amp; BENEFITS'!A53&lt;&gt;"",IF('09 - ADOPTION &amp; BENEFITS'!C53="","",'09 - ADOPTION &amp; BENEFITS'!C53),"")</f>
        <v/>
      </c>
      <c r="AJ331" t="str">
        <f>IF('09 - ADOPTION &amp; BENEFITS'!A53&lt;&gt;"","09 - ADOPTION &amp; BENEFITS row 53","")</f>
        <v/>
      </c>
      <c r="AK331">
        <f>IF(AND('09 - ADOPTION &amp; BENEFITS'!A53&lt;&gt;"",OR('09 - ADOPTION &amp; BENEFITS'!C53&lt;&gt;"Closed",'09 - ADOPTION &amp; BENEFITS'!G53&lt;&gt;""),OR(AC331&lt;&gt;"",AD331&lt;&gt;"")),IF(Y331="Critical",1,IF(Y331="Review",2,3))*100000000+IF(ISNUMBER(AF331),AF331,99999)*1000+ROW(),999999999999)</f>
        <v>999999999999</v>
      </c>
      <c r="AL331">
        <f t="shared" si="30"/>
        <v>999999999999</v>
      </c>
      <c r="AM331">
        <f t="shared" si="34"/>
        <v>999999999999</v>
      </c>
      <c r="AN331">
        <f t="shared" si="35"/>
        <v>999999999999</v>
      </c>
      <c r="AO331">
        <f t="shared" si="31"/>
        <v>999999999999</v>
      </c>
      <c r="AP331">
        <f t="shared" si="29"/>
        <v>999999999999</v>
      </c>
      <c r="AQ331">
        <f t="shared" si="36"/>
        <v>999999999999</v>
      </c>
      <c r="AR331">
        <f t="shared" si="32"/>
        <v>0</v>
      </c>
    </row>
    <row r="332" spans="25:44">
      <c r="Y332" t="str">
        <f>IF('09 - ADOPTION &amp; BENEFITS'!A54&lt;&gt;"",IF('09 - ADOPTION &amp; BENEFITS'!F54="","",'09 - ADOPTION &amp; BENEFITS'!F54),"")</f>
        <v/>
      </c>
      <c r="Z332" t="str">
        <f>IF('09 - ADOPTION &amp; BENEFITS'!A54&lt;&gt;"","Adoption","")</f>
        <v/>
      </c>
      <c r="AA332" t="str">
        <f>IF('09 - ADOPTION &amp; BENEFITS'!A54&lt;&gt;"",IF('09 - ADOPTION &amp; BENEFITS'!A54="","",'09 - ADOPTION &amp; BENEFITS'!A54),"")</f>
        <v/>
      </c>
      <c r="AB332" t="str">
        <f>IF('09 - ADOPTION &amp; BENEFITS'!A54&lt;&gt;"",IF('09 - ADOPTION &amp; BENEFITS'!B54="","",'09 - ADOPTION &amp; BENEFITS'!B54),"")</f>
        <v/>
      </c>
      <c r="AC332" t="str">
        <f>IF('09 - ADOPTION &amp; BENEFITS'!A54&lt;&gt;"",IF('09 - ADOPTION &amp; BENEFITS'!G54="","",'09 - ADOPTION &amp; BENEFITS'!G54),"")</f>
        <v/>
      </c>
      <c r="AD332" t="str">
        <f>IF('09 - ADOPTION &amp; BENEFITS'!A54&lt;&gt;"",IF('09 - ADOPTION &amp; BENEFITS'!H54="","",'09 - ADOPTION &amp; BENEFITS'!H54),"")</f>
        <v/>
      </c>
      <c r="AE332" t="str">
        <f>IF('09 - ADOPTION &amp; BENEFITS'!A54&lt;&gt;"",IF('09 - ADOPTION &amp; BENEFITS'!D54="","",'09 - ADOPTION &amp; BENEFITS'!D54),"")</f>
        <v/>
      </c>
      <c r="AF332" s="17" t="str">
        <f>IF('09 - ADOPTION &amp; BENEFITS'!A54&lt;&gt;"",IF('09 - ADOPTION &amp; BENEFITS'!E54="","",'09 - ADOPTION &amp; BENEFITS'!E54),"")</f>
        <v/>
      </c>
      <c r="AG332" t="str">
        <f>IF('09 - ADOPTION &amp; BENEFITS'!A54&lt;&gt;"",IF('09 - ADOPTION &amp; BENEFITS'!I54="","",'09 - ADOPTION &amp; BENEFITS'!I54),"")</f>
        <v/>
      </c>
      <c r="AH332" t="str">
        <f>IF('09 - ADOPTION &amp; BENEFITS'!A54&lt;&gt;"",IF('09 - ADOPTION &amp; BENEFITS'!J54="","",'09 - ADOPTION &amp; BENEFITS'!J54),"")</f>
        <v/>
      </c>
      <c r="AI332" t="str">
        <f>IF('09 - ADOPTION &amp; BENEFITS'!A54&lt;&gt;"",IF('09 - ADOPTION &amp; BENEFITS'!C54="","",'09 - ADOPTION &amp; BENEFITS'!C54),"")</f>
        <v/>
      </c>
      <c r="AJ332" t="str">
        <f>IF('09 - ADOPTION &amp; BENEFITS'!A54&lt;&gt;"","09 - ADOPTION &amp; BENEFITS row 54","")</f>
        <v/>
      </c>
      <c r="AK332">
        <f>IF(AND('09 - ADOPTION &amp; BENEFITS'!A54&lt;&gt;"",OR('09 - ADOPTION &amp; BENEFITS'!C54&lt;&gt;"Closed",'09 - ADOPTION &amp; BENEFITS'!G54&lt;&gt;""),OR(AC332&lt;&gt;"",AD332&lt;&gt;"")),IF(Y332="Critical",1,IF(Y332="Review",2,3))*100000000+IF(ISNUMBER(AF332),AF332,99999)*1000+ROW(),999999999999)</f>
        <v>999999999999</v>
      </c>
      <c r="AL332">
        <f t="shared" si="30"/>
        <v>999999999999</v>
      </c>
      <c r="AM332">
        <f t="shared" si="34"/>
        <v>999999999999</v>
      </c>
      <c r="AN332">
        <f t="shared" si="35"/>
        <v>999999999999</v>
      </c>
      <c r="AO332">
        <f t="shared" si="31"/>
        <v>999999999999</v>
      </c>
      <c r="AP332">
        <f t="shared" si="29"/>
        <v>999999999999</v>
      </c>
      <c r="AQ332">
        <f t="shared" si="36"/>
        <v>999999999999</v>
      </c>
      <c r="AR332">
        <f t="shared" si="32"/>
        <v>0</v>
      </c>
    </row>
    <row r="333" spans="25:44">
      <c r="Y333" t="str">
        <f>IF('09 - ADOPTION &amp; BENEFITS'!A55&lt;&gt;"",IF('09 - ADOPTION &amp; BENEFITS'!F55="","",'09 - ADOPTION &amp; BENEFITS'!F55),"")</f>
        <v/>
      </c>
      <c r="Z333" t="str">
        <f>IF('09 - ADOPTION &amp; BENEFITS'!A55&lt;&gt;"","Adoption","")</f>
        <v/>
      </c>
      <c r="AA333" t="str">
        <f>IF('09 - ADOPTION &amp; BENEFITS'!A55&lt;&gt;"",IF('09 - ADOPTION &amp; BENEFITS'!A55="","",'09 - ADOPTION &amp; BENEFITS'!A55),"")</f>
        <v/>
      </c>
      <c r="AB333" t="str">
        <f>IF('09 - ADOPTION &amp; BENEFITS'!A55&lt;&gt;"",IF('09 - ADOPTION &amp; BENEFITS'!B55="","",'09 - ADOPTION &amp; BENEFITS'!B55),"")</f>
        <v/>
      </c>
      <c r="AC333" t="str">
        <f>IF('09 - ADOPTION &amp; BENEFITS'!A55&lt;&gt;"",IF('09 - ADOPTION &amp; BENEFITS'!G55="","",'09 - ADOPTION &amp; BENEFITS'!G55),"")</f>
        <v/>
      </c>
      <c r="AD333" t="str">
        <f>IF('09 - ADOPTION &amp; BENEFITS'!A55&lt;&gt;"",IF('09 - ADOPTION &amp; BENEFITS'!H55="","",'09 - ADOPTION &amp; BENEFITS'!H55),"")</f>
        <v/>
      </c>
      <c r="AE333" t="str">
        <f>IF('09 - ADOPTION &amp; BENEFITS'!A55&lt;&gt;"",IF('09 - ADOPTION &amp; BENEFITS'!D55="","",'09 - ADOPTION &amp; BENEFITS'!D55),"")</f>
        <v/>
      </c>
      <c r="AF333" s="17" t="str">
        <f>IF('09 - ADOPTION &amp; BENEFITS'!A55&lt;&gt;"",IF('09 - ADOPTION &amp; BENEFITS'!E55="","",'09 - ADOPTION &amp; BENEFITS'!E55),"")</f>
        <v/>
      </c>
      <c r="AG333" t="str">
        <f>IF('09 - ADOPTION &amp; BENEFITS'!A55&lt;&gt;"",IF('09 - ADOPTION &amp; BENEFITS'!I55="","",'09 - ADOPTION &amp; BENEFITS'!I55),"")</f>
        <v/>
      </c>
      <c r="AH333" t="str">
        <f>IF('09 - ADOPTION &amp; BENEFITS'!A55&lt;&gt;"",IF('09 - ADOPTION &amp; BENEFITS'!J55="","",'09 - ADOPTION &amp; BENEFITS'!J55),"")</f>
        <v/>
      </c>
      <c r="AI333" t="str">
        <f>IF('09 - ADOPTION &amp; BENEFITS'!A55&lt;&gt;"",IF('09 - ADOPTION &amp; BENEFITS'!C55="","",'09 - ADOPTION &amp; BENEFITS'!C55),"")</f>
        <v/>
      </c>
      <c r="AJ333" t="str">
        <f>IF('09 - ADOPTION &amp; BENEFITS'!A55&lt;&gt;"","09 - ADOPTION &amp; BENEFITS row 55","")</f>
        <v/>
      </c>
      <c r="AK333">
        <f>IF(AND('09 - ADOPTION &amp; BENEFITS'!A55&lt;&gt;"",OR('09 - ADOPTION &amp; BENEFITS'!C55&lt;&gt;"Closed",'09 - ADOPTION &amp; BENEFITS'!G55&lt;&gt;""),OR(AC333&lt;&gt;"",AD333&lt;&gt;"")),IF(Y333="Critical",1,IF(Y333="Review",2,3))*100000000+IF(ISNUMBER(AF333),AF333,99999)*1000+ROW(),999999999999)</f>
        <v>999999999999</v>
      </c>
      <c r="AL333">
        <f t="shared" si="30"/>
        <v>999999999999</v>
      </c>
      <c r="AM333">
        <f t="shared" si="34"/>
        <v>999999999999</v>
      </c>
      <c r="AN333">
        <f t="shared" si="35"/>
        <v>999999999999</v>
      </c>
      <c r="AO333">
        <f t="shared" si="31"/>
        <v>999999999999</v>
      </c>
      <c r="AP333">
        <f t="shared" si="29"/>
        <v>999999999999</v>
      </c>
      <c r="AQ333">
        <f t="shared" si="36"/>
        <v>999999999999</v>
      </c>
      <c r="AR333">
        <f t="shared" si="32"/>
        <v>0</v>
      </c>
    </row>
    <row r="334" spans="25:44">
      <c r="Y334" t="str">
        <f>IF('09 - ADOPTION &amp; BENEFITS'!A56&lt;&gt;"",IF('09 - ADOPTION &amp; BENEFITS'!F56="","",'09 - ADOPTION &amp; BENEFITS'!F56),"")</f>
        <v/>
      </c>
      <c r="Z334" t="str">
        <f>IF('09 - ADOPTION &amp; BENEFITS'!A56&lt;&gt;"","Adoption","")</f>
        <v/>
      </c>
      <c r="AA334" t="str">
        <f>IF('09 - ADOPTION &amp; BENEFITS'!A56&lt;&gt;"",IF('09 - ADOPTION &amp; BENEFITS'!A56="","",'09 - ADOPTION &amp; BENEFITS'!A56),"")</f>
        <v/>
      </c>
      <c r="AB334" t="str">
        <f>IF('09 - ADOPTION &amp; BENEFITS'!A56&lt;&gt;"",IF('09 - ADOPTION &amp; BENEFITS'!B56="","",'09 - ADOPTION &amp; BENEFITS'!B56),"")</f>
        <v/>
      </c>
      <c r="AC334" t="str">
        <f>IF('09 - ADOPTION &amp; BENEFITS'!A56&lt;&gt;"",IF('09 - ADOPTION &amp; BENEFITS'!G56="","",'09 - ADOPTION &amp; BENEFITS'!G56),"")</f>
        <v/>
      </c>
      <c r="AD334" t="str">
        <f>IF('09 - ADOPTION &amp; BENEFITS'!A56&lt;&gt;"",IF('09 - ADOPTION &amp; BENEFITS'!H56="","",'09 - ADOPTION &amp; BENEFITS'!H56),"")</f>
        <v/>
      </c>
      <c r="AE334" t="str">
        <f>IF('09 - ADOPTION &amp; BENEFITS'!A56&lt;&gt;"",IF('09 - ADOPTION &amp; BENEFITS'!D56="","",'09 - ADOPTION &amp; BENEFITS'!D56),"")</f>
        <v/>
      </c>
      <c r="AF334" s="17" t="str">
        <f>IF('09 - ADOPTION &amp; BENEFITS'!A56&lt;&gt;"",IF('09 - ADOPTION &amp; BENEFITS'!E56="","",'09 - ADOPTION &amp; BENEFITS'!E56),"")</f>
        <v/>
      </c>
      <c r="AG334" t="str">
        <f>IF('09 - ADOPTION &amp; BENEFITS'!A56&lt;&gt;"",IF('09 - ADOPTION &amp; BENEFITS'!I56="","",'09 - ADOPTION &amp; BENEFITS'!I56),"")</f>
        <v/>
      </c>
      <c r="AH334" t="str">
        <f>IF('09 - ADOPTION &amp; BENEFITS'!A56&lt;&gt;"",IF('09 - ADOPTION &amp; BENEFITS'!J56="","",'09 - ADOPTION &amp; BENEFITS'!J56),"")</f>
        <v/>
      </c>
      <c r="AI334" t="str">
        <f>IF('09 - ADOPTION &amp; BENEFITS'!A56&lt;&gt;"",IF('09 - ADOPTION &amp; BENEFITS'!C56="","",'09 - ADOPTION &amp; BENEFITS'!C56),"")</f>
        <v/>
      </c>
      <c r="AJ334" t="str">
        <f>IF('09 - ADOPTION &amp; BENEFITS'!A56&lt;&gt;"","09 - ADOPTION &amp; BENEFITS row 56","")</f>
        <v/>
      </c>
      <c r="AK334">
        <f>IF(AND('09 - ADOPTION &amp; BENEFITS'!A56&lt;&gt;"",OR('09 - ADOPTION &amp; BENEFITS'!C56&lt;&gt;"Closed",'09 - ADOPTION &amp; BENEFITS'!G56&lt;&gt;""),OR(AC334&lt;&gt;"",AD334&lt;&gt;"")),IF(Y334="Critical",1,IF(Y334="Review",2,3))*100000000+IF(ISNUMBER(AF334),AF334,99999)*1000+ROW(),999999999999)</f>
        <v>999999999999</v>
      </c>
      <c r="AL334">
        <f t="shared" si="30"/>
        <v>999999999999</v>
      </c>
      <c r="AM334">
        <f t="shared" si="34"/>
        <v>999999999999</v>
      </c>
      <c r="AN334">
        <f t="shared" si="35"/>
        <v>999999999999</v>
      </c>
      <c r="AO334">
        <f t="shared" si="31"/>
        <v>999999999999</v>
      </c>
      <c r="AP334">
        <f t="shared" si="29"/>
        <v>999999999999</v>
      </c>
      <c r="AQ334">
        <f t="shared" si="36"/>
        <v>999999999999</v>
      </c>
      <c r="AR334">
        <f t="shared" si="32"/>
        <v>0</v>
      </c>
    </row>
    <row r="335" spans="25:44">
      <c r="Y335" t="str">
        <f>IF('09 - ADOPTION &amp; BENEFITS'!A57&lt;&gt;"",IF('09 - ADOPTION &amp; BENEFITS'!F57="","",'09 - ADOPTION &amp; BENEFITS'!F57),"")</f>
        <v/>
      </c>
      <c r="Z335" t="str">
        <f>IF('09 - ADOPTION &amp; BENEFITS'!A57&lt;&gt;"","Adoption","")</f>
        <v/>
      </c>
      <c r="AA335" t="str">
        <f>IF('09 - ADOPTION &amp; BENEFITS'!A57&lt;&gt;"",IF('09 - ADOPTION &amp; BENEFITS'!A57="","",'09 - ADOPTION &amp; BENEFITS'!A57),"")</f>
        <v/>
      </c>
      <c r="AB335" t="str">
        <f>IF('09 - ADOPTION &amp; BENEFITS'!A57&lt;&gt;"",IF('09 - ADOPTION &amp; BENEFITS'!B57="","",'09 - ADOPTION &amp; BENEFITS'!B57),"")</f>
        <v/>
      </c>
      <c r="AC335" t="str">
        <f>IF('09 - ADOPTION &amp; BENEFITS'!A57&lt;&gt;"",IF('09 - ADOPTION &amp; BENEFITS'!G57="","",'09 - ADOPTION &amp; BENEFITS'!G57),"")</f>
        <v/>
      </c>
      <c r="AD335" t="str">
        <f>IF('09 - ADOPTION &amp; BENEFITS'!A57&lt;&gt;"",IF('09 - ADOPTION &amp; BENEFITS'!H57="","",'09 - ADOPTION &amp; BENEFITS'!H57),"")</f>
        <v/>
      </c>
      <c r="AE335" t="str">
        <f>IF('09 - ADOPTION &amp; BENEFITS'!A57&lt;&gt;"",IF('09 - ADOPTION &amp; BENEFITS'!D57="","",'09 - ADOPTION &amp; BENEFITS'!D57),"")</f>
        <v/>
      </c>
      <c r="AF335" s="17" t="str">
        <f>IF('09 - ADOPTION &amp; BENEFITS'!A57&lt;&gt;"",IF('09 - ADOPTION &amp; BENEFITS'!E57="","",'09 - ADOPTION &amp; BENEFITS'!E57),"")</f>
        <v/>
      </c>
      <c r="AG335" t="str">
        <f>IF('09 - ADOPTION &amp; BENEFITS'!A57&lt;&gt;"",IF('09 - ADOPTION &amp; BENEFITS'!I57="","",'09 - ADOPTION &amp; BENEFITS'!I57),"")</f>
        <v/>
      </c>
      <c r="AH335" t="str">
        <f>IF('09 - ADOPTION &amp; BENEFITS'!A57&lt;&gt;"",IF('09 - ADOPTION &amp; BENEFITS'!J57="","",'09 - ADOPTION &amp; BENEFITS'!J57),"")</f>
        <v/>
      </c>
      <c r="AI335" t="str">
        <f>IF('09 - ADOPTION &amp; BENEFITS'!A57&lt;&gt;"",IF('09 - ADOPTION &amp; BENEFITS'!C57="","",'09 - ADOPTION &amp; BENEFITS'!C57),"")</f>
        <v/>
      </c>
      <c r="AJ335" t="str">
        <f>IF('09 - ADOPTION &amp; BENEFITS'!A57&lt;&gt;"","09 - ADOPTION &amp; BENEFITS row 57","")</f>
        <v/>
      </c>
      <c r="AK335">
        <f>IF(AND('09 - ADOPTION &amp; BENEFITS'!A57&lt;&gt;"",OR('09 - ADOPTION &amp; BENEFITS'!C57&lt;&gt;"Closed",'09 - ADOPTION &amp; BENEFITS'!G57&lt;&gt;""),OR(AC335&lt;&gt;"",AD335&lt;&gt;"")),IF(Y335="Critical",1,IF(Y335="Review",2,3))*100000000+IF(ISNUMBER(AF335),AF335,99999)*1000+ROW(),999999999999)</f>
        <v>999999999999</v>
      </c>
      <c r="AL335">
        <f t="shared" si="30"/>
        <v>999999999999</v>
      </c>
      <c r="AM335">
        <f t="shared" si="34"/>
        <v>999999999999</v>
      </c>
      <c r="AN335">
        <f t="shared" si="35"/>
        <v>999999999999</v>
      </c>
      <c r="AO335">
        <f t="shared" si="31"/>
        <v>999999999999</v>
      </c>
      <c r="AP335">
        <f t="shared" si="29"/>
        <v>999999999999</v>
      </c>
      <c r="AQ335">
        <f t="shared" si="36"/>
        <v>999999999999</v>
      </c>
      <c r="AR335">
        <f t="shared" si="32"/>
        <v>0</v>
      </c>
    </row>
    <row r="336" spans="25:44">
      <c r="Y336" t="str">
        <f>IF('09 - ADOPTION &amp; BENEFITS'!A58&lt;&gt;"",IF('09 - ADOPTION &amp; BENEFITS'!F58="","",'09 - ADOPTION &amp; BENEFITS'!F58),"")</f>
        <v/>
      </c>
      <c r="Z336" t="str">
        <f>IF('09 - ADOPTION &amp; BENEFITS'!A58&lt;&gt;"","Adoption","")</f>
        <v/>
      </c>
      <c r="AA336" t="str">
        <f>IF('09 - ADOPTION &amp; BENEFITS'!A58&lt;&gt;"",IF('09 - ADOPTION &amp; BENEFITS'!A58="","",'09 - ADOPTION &amp; BENEFITS'!A58),"")</f>
        <v/>
      </c>
      <c r="AB336" t="str">
        <f>IF('09 - ADOPTION &amp; BENEFITS'!A58&lt;&gt;"",IF('09 - ADOPTION &amp; BENEFITS'!B58="","",'09 - ADOPTION &amp; BENEFITS'!B58),"")</f>
        <v/>
      </c>
      <c r="AC336" t="str">
        <f>IF('09 - ADOPTION &amp; BENEFITS'!A58&lt;&gt;"",IF('09 - ADOPTION &amp; BENEFITS'!G58="","",'09 - ADOPTION &amp; BENEFITS'!G58),"")</f>
        <v/>
      </c>
      <c r="AD336" t="str">
        <f>IF('09 - ADOPTION &amp; BENEFITS'!A58&lt;&gt;"",IF('09 - ADOPTION &amp; BENEFITS'!H58="","",'09 - ADOPTION &amp; BENEFITS'!H58),"")</f>
        <v/>
      </c>
      <c r="AE336" t="str">
        <f>IF('09 - ADOPTION &amp; BENEFITS'!A58&lt;&gt;"",IF('09 - ADOPTION &amp; BENEFITS'!D58="","",'09 - ADOPTION &amp; BENEFITS'!D58),"")</f>
        <v/>
      </c>
      <c r="AF336" s="17" t="str">
        <f>IF('09 - ADOPTION &amp; BENEFITS'!A58&lt;&gt;"",IF('09 - ADOPTION &amp; BENEFITS'!E58="","",'09 - ADOPTION &amp; BENEFITS'!E58),"")</f>
        <v/>
      </c>
      <c r="AG336" t="str">
        <f>IF('09 - ADOPTION &amp; BENEFITS'!A58&lt;&gt;"",IF('09 - ADOPTION &amp; BENEFITS'!I58="","",'09 - ADOPTION &amp; BENEFITS'!I58),"")</f>
        <v/>
      </c>
      <c r="AH336" t="str">
        <f>IF('09 - ADOPTION &amp; BENEFITS'!A58&lt;&gt;"",IF('09 - ADOPTION &amp; BENEFITS'!J58="","",'09 - ADOPTION &amp; BENEFITS'!J58),"")</f>
        <v/>
      </c>
      <c r="AI336" t="str">
        <f>IF('09 - ADOPTION &amp; BENEFITS'!A58&lt;&gt;"",IF('09 - ADOPTION &amp; BENEFITS'!C58="","",'09 - ADOPTION &amp; BENEFITS'!C58),"")</f>
        <v/>
      </c>
      <c r="AJ336" t="str">
        <f>IF('09 - ADOPTION &amp; BENEFITS'!A58&lt;&gt;"","09 - ADOPTION &amp; BENEFITS row 58","")</f>
        <v/>
      </c>
      <c r="AK336">
        <f>IF(AND('09 - ADOPTION &amp; BENEFITS'!A58&lt;&gt;"",OR('09 - ADOPTION &amp; BENEFITS'!C58&lt;&gt;"Closed",'09 - ADOPTION &amp; BENEFITS'!G58&lt;&gt;""),OR(AC336&lt;&gt;"",AD336&lt;&gt;"")),IF(Y336="Critical",1,IF(Y336="Review",2,3))*100000000+IF(ISNUMBER(AF336),AF336,99999)*1000+ROW(),999999999999)</f>
        <v>999999999999</v>
      </c>
      <c r="AL336">
        <f t="shared" si="30"/>
        <v>999999999999</v>
      </c>
      <c r="AM336">
        <f t="shared" si="34"/>
        <v>999999999999</v>
      </c>
      <c r="AN336">
        <f t="shared" si="35"/>
        <v>999999999999</v>
      </c>
      <c r="AO336">
        <f t="shared" si="31"/>
        <v>999999999999</v>
      </c>
      <c r="AP336">
        <f t="shared" si="29"/>
        <v>999999999999</v>
      </c>
      <c r="AQ336">
        <f t="shared" si="36"/>
        <v>999999999999</v>
      </c>
      <c r="AR336">
        <f t="shared" si="32"/>
        <v>0</v>
      </c>
    </row>
    <row r="337" spans="25:44">
      <c r="Y337" t="str">
        <f>IF('10 - RECOVERY'!A9&lt;&gt;"",IF('10 - RECOVERY'!F9="","",'10 - RECOVERY'!F9),"")</f>
        <v>Routine</v>
      </c>
      <c r="Z337" t="str">
        <f>IF('10 - RECOVERY'!A9&lt;&gt;"","Recovery","")</f>
        <v>Recovery</v>
      </c>
      <c r="AA337" t="str">
        <f>IF('10 - RECOVERY'!A9&lt;&gt;"",IF('10 - RECOVERY'!A9="","",'10 - RECOVERY'!A9),"")</f>
        <v>REC-01</v>
      </c>
      <c r="AB337" t="str">
        <f>IF('10 - RECOVERY'!A9&lt;&gt;"",IF('10 - RECOVERY'!B9="","",'10 - RECOVERY'!B9),"")</f>
        <v>Connectivity and decision deterioration</v>
      </c>
      <c r="AC337" t="str">
        <f>IF('10 - RECOVERY'!A9&lt;&gt;"",IF('10 - RECOVERY'!G9="","",'10 - RECOVERY'!G9),"")</f>
        <v/>
      </c>
      <c r="AD337" t="str">
        <f>IF('10 - RECOVERY'!A9&lt;&gt;"",IF('10 - RECOVERY'!H9="","",'10 - RECOVERY'!H9),"")</f>
        <v>Test the intervention, sustained change and displaced risk.</v>
      </c>
      <c r="AE337" t="str">
        <f>IF('10 - RECOVERY'!A9&lt;&gt;"",IF('10 - RECOVERY'!D9="","",'10 - RECOVERY'!D9),"")</f>
        <v>Programme manager</v>
      </c>
      <c r="AF337" s="17">
        <f>IF('10 - RECOVERY'!A9&lt;&gt;"",IF('10 - RECOVERY'!E9="","",'10 - RECOVERY'!E9),"")</f>
        <v>46291</v>
      </c>
      <c r="AG337" t="str">
        <f>IF('10 - RECOVERY'!A9&lt;&gt;"",IF('10 - RECOVERY'!I9="","",'10 - RECOVERY'!I9),"")</f>
        <v>Cutover slot and remaining cost exposure</v>
      </c>
      <c r="AH337" t="str">
        <f>IF('10 - RECOVERY'!A9&lt;&gt;"",IF('10 - RECOVERY'!J9="","",'10 - RECOVERY'!J9),"")</f>
        <v>Accepted production path and operator-led rehearsal</v>
      </c>
      <c r="AI337" t="str">
        <f>IF('10 - RECOVERY'!A9&lt;&gt;"",IF('10 - RECOVERY'!AL9="","",'10 - RECOVERY'!AL9),"")</f>
        <v>In progress</v>
      </c>
      <c r="AJ337" t="str">
        <f>IF('10 - RECOVERY'!A9&lt;&gt;"","10 - RECOVERY row 9","")</f>
        <v>10 - RECOVERY row 9</v>
      </c>
      <c r="AK337">
        <f>IF(AND('10 - RECOVERY'!A9&lt;&gt;"",OR('10 - RECOVERY'!AL9&lt;&gt;"Closed",'10 - RECOVERY'!G9&lt;&gt;""),OR(AC337&lt;&gt;"",AD337&lt;&gt;"")),IF(Y337="Critical",1,IF(Y337="Review",2,3))*100000000+IF(ISNUMBER(AF337),AF337,99999)*1000+ROW(),999999999999)</f>
        <v>346291337</v>
      </c>
      <c r="AL337">
        <f t="shared" si="30"/>
        <v>999999999999</v>
      </c>
      <c r="AM337">
        <f t="shared" si="34"/>
        <v>999999999999</v>
      </c>
      <c r="AN337">
        <f t="shared" si="35"/>
        <v>999999999999</v>
      </c>
      <c r="AO337">
        <f t="shared" si="31"/>
        <v>46291337</v>
      </c>
      <c r="AP337">
        <f t="shared" si="29"/>
        <v>999999999999</v>
      </c>
      <c r="AQ337">
        <f t="shared" si="36"/>
        <v>999999999999</v>
      </c>
      <c r="AR337">
        <f t="shared" si="32"/>
        <v>0</v>
      </c>
    </row>
    <row r="338" spans="25:44">
      <c r="Y338" t="str">
        <f>IF('10 - RECOVERY'!A10&lt;&gt;"",IF('10 - RECOVERY'!F10="","",'10 - RECOVERY'!F10),"")</f>
        <v/>
      </c>
      <c r="Z338" t="str">
        <f>IF('10 - RECOVERY'!A10&lt;&gt;"","Recovery","")</f>
        <v/>
      </c>
      <c r="AA338" t="str">
        <f>IF('10 - RECOVERY'!A10&lt;&gt;"",IF('10 - RECOVERY'!A10="","",'10 - RECOVERY'!A10),"")</f>
        <v/>
      </c>
      <c r="AB338" t="str">
        <f>IF('10 - RECOVERY'!A10&lt;&gt;"",IF('10 - RECOVERY'!B10="","",'10 - RECOVERY'!B10),"")</f>
        <v/>
      </c>
      <c r="AC338" t="str">
        <f>IF('10 - RECOVERY'!A10&lt;&gt;"",IF('10 - RECOVERY'!G10="","",'10 - RECOVERY'!G10),"")</f>
        <v/>
      </c>
      <c r="AD338" t="str">
        <f>IF('10 - RECOVERY'!A10&lt;&gt;"",IF('10 - RECOVERY'!H10="","",'10 - RECOVERY'!H10),"")</f>
        <v/>
      </c>
      <c r="AE338" t="str">
        <f>IF('10 - RECOVERY'!A10&lt;&gt;"",IF('10 - RECOVERY'!D10="","",'10 - RECOVERY'!D10),"")</f>
        <v/>
      </c>
      <c r="AF338" s="17" t="str">
        <f>IF('10 - RECOVERY'!A10&lt;&gt;"",IF('10 - RECOVERY'!E10="","",'10 - RECOVERY'!E10),"")</f>
        <v/>
      </c>
      <c r="AG338" t="str">
        <f>IF('10 - RECOVERY'!A10&lt;&gt;"",IF('10 - RECOVERY'!I10="","",'10 - RECOVERY'!I10),"")</f>
        <v/>
      </c>
      <c r="AH338" t="str">
        <f>IF('10 - RECOVERY'!A10&lt;&gt;"",IF('10 - RECOVERY'!J10="","",'10 - RECOVERY'!J10),"")</f>
        <v/>
      </c>
      <c r="AI338" t="str">
        <f>IF('10 - RECOVERY'!A10&lt;&gt;"",IF('10 - RECOVERY'!AL10="","",'10 - RECOVERY'!AL10),"")</f>
        <v/>
      </c>
      <c r="AJ338" t="str">
        <f>IF('10 - RECOVERY'!A10&lt;&gt;"","10 - RECOVERY row 10","")</f>
        <v/>
      </c>
      <c r="AK338">
        <f>IF(AND('10 - RECOVERY'!A10&lt;&gt;"",OR('10 - RECOVERY'!AL10&lt;&gt;"Closed",'10 - RECOVERY'!G10&lt;&gt;""),OR(AC338&lt;&gt;"",AD338&lt;&gt;"")),IF(Y338="Critical",1,IF(Y338="Review",2,3))*100000000+IF(ISNUMBER(AF338),AF338,99999)*1000+ROW(),999999999999)</f>
        <v>999999999999</v>
      </c>
      <c r="AL338">
        <f t="shared" si="30"/>
        <v>999999999999</v>
      </c>
      <c r="AM338">
        <f t="shared" si="34"/>
        <v>999999999999</v>
      </c>
      <c r="AN338">
        <f t="shared" si="35"/>
        <v>999999999999</v>
      </c>
      <c r="AO338">
        <f t="shared" si="31"/>
        <v>999999999999</v>
      </c>
      <c r="AP338">
        <f t="shared" si="29"/>
        <v>999999999999</v>
      </c>
      <c r="AQ338">
        <f t="shared" si="36"/>
        <v>999999999999</v>
      </c>
      <c r="AR338">
        <f t="shared" si="32"/>
        <v>0</v>
      </c>
    </row>
    <row r="339" spans="25:44">
      <c r="Y339" t="str">
        <f>IF('10 - RECOVERY'!A11&lt;&gt;"",IF('10 - RECOVERY'!F11="","",'10 - RECOVERY'!F11),"")</f>
        <v/>
      </c>
      <c r="Z339" t="str">
        <f>IF('10 - RECOVERY'!A11&lt;&gt;"","Recovery","")</f>
        <v/>
      </c>
      <c r="AA339" t="str">
        <f>IF('10 - RECOVERY'!A11&lt;&gt;"",IF('10 - RECOVERY'!A11="","",'10 - RECOVERY'!A11),"")</f>
        <v/>
      </c>
      <c r="AB339" t="str">
        <f>IF('10 - RECOVERY'!A11&lt;&gt;"",IF('10 - RECOVERY'!B11="","",'10 - RECOVERY'!B11),"")</f>
        <v/>
      </c>
      <c r="AC339" t="str">
        <f>IF('10 - RECOVERY'!A11&lt;&gt;"",IF('10 - RECOVERY'!G11="","",'10 - RECOVERY'!G11),"")</f>
        <v/>
      </c>
      <c r="AD339" t="str">
        <f>IF('10 - RECOVERY'!A11&lt;&gt;"",IF('10 - RECOVERY'!H11="","",'10 - RECOVERY'!H11),"")</f>
        <v/>
      </c>
      <c r="AE339" t="str">
        <f>IF('10 - RECOVERY'!A11&lt;&gt;"",IF('10 - RECOVERY'!D11="","",'10 - RECOVERY'!D11),"")</f>
        <v/>
      </c>
      <c r="AF339" s="17" t="str">
        <f>IF('10 - RECOVERY'!A11&lt;&gt;"",IF('10 - RECOVERY'!E11="","",'10 - RECOVERY'!E11),"")</f>
        <v/>
      </c>
      <c r="AG339" t="str">
        <f>IF('10 - RECOVERY'!A11&lt;&gt;"",IF('10 - RECOVERY'!I11="","",'10 - RECOVERY'!I11),"")</f>
        <v/>
      </c>
      <c r="AH339" t="str">
        <f>IF('10 - RECOVERY'!A11&lt;&gt;"",IF('10 - RECOVERY'!J11="","",'10 - RECOVERY'!J11),"")</f>
        <v/>
      </c>
      <c r="AI339" t="str">
        <f>IF('10 - RECOVERY'!A11&lt;&gt;"",IF('10 - RECOVERY'!AL11="","",'10 - RECOVERY'!AL11),"")</f>
        <v/>
      </c>
      <c r="AJ339" t="str">
        <f>IF('10 - RECOVERY'!A11&lt;&gt;"","10 - RECOVERY row 11","")</f>
        <v/>
      </c>
      <c r="AK339">
        <f>IF(AND('10 - RECOVERY'!A11&lt;&gt;"",OR('10 - RECOVERY'!AL11&lt;&gt;"Closed",'10 - RECOVERY'!G11&lt;&gt;""),OR(AC339&lt;&gt;"",AD339&lt;&gt;"")),IF(Y339="Critical",1,IF(Y339="Review",2,3))*100000000+IF(ISNUMBER(AF339),AF339,99999)*1000+ROW(),999999999999)</f>
        <v>999999999999</v>
      </c>
      <c r="AL339">
        <f t="shared" si="30"/>
        <v>999999999999</v>
      </c>
      <c r="AM339">
        <f t="shared" si="34"/>
        <v>999999999999</v>
      </c>
      <c r="AN339">
        <f t="shared" si="35"/>
        <v>999999999999</v>
      </c>
      <c r="AO339">
        <f t="shared" si="31"/>
        <v>999999999999</v>
      </c>
      <c r="AP339">
        <f t="shared" si="29"/>
        <v>999999999999</v>
      </c>
      <c r="AQ339">
        <f t="shared" si="36"/>
        <v>999999999999</v>
      </c>
      <c r="AR339">
        <f t="shared" si="32"/>
        <v>0</v>
      </c>
    </row>
    <row r="340" spans="25:44">
      <c r="Y340" t="str">
        <f>IF('10 - RECOVERY'!A12&lt;&gt;"",IF('10 - RECOVERY'!F12="","",'10 - RECOVERY'!F12),"")</f>
        <v/>
      </c>
      <c r="Z340" t="str">
        <f>IF('10 - RECOVERY'!A12&lt;&gt;"","Recovery","")</f>
        <v/>
      </c>
      <c r="AA340" t="str">
        <f>IF('10 - RECOVERY'!A12&lt;&gt;"",IF('10 - RECOVERY'!A12="","",'10 - RECOVERY'!A12),"")</f>
        <v/>
      </c>
      <c r="AB340" t="str">
        <f>IF('10 - RECOVERY'!A12&lt;&gt;"",IF('10 - RECOVERY'!B12="","",'10 - RECOVERY'!B12),"")</f>
        <v/>
      </c>
      <c r="AC340" t="str">
        <f>IF('10 - RECOVERY'!A12&lt;&gt;"",IF('10 - RECOVERY'!G12="","",'10 - RECOVERY'!G12),"")</f>
        <v/>
      </c>
      <c r="AD340" t="str">
        <f>IF('10 - RECOVERY'!A12&lt;&gt;"",IF('10 - RECOVERY'!H12="","",'10 - RECOVERY'!H12),"")</f>
        <v/>
      </c>
      <c r="AE340" t="str">
        <f>IF('10 - RECOVERY'!A12&lt;&gt;"",IF('10 - RECOVERY'!D12="","",'10 - RECOVERY'!D12),"")</f>
        <v/>
      </c>
      <c r="AF340" s="17" t="str">
        <f>IF('10 - RECOVERY'!A12&lt;&gt;"",IF('10 - RECOVERY'!E12="","",'10 - RECOVERY'!E12),"")</f>
        <v/>
      </c>
      <c r="AG340" t="str">
        <f>IF('10 - RECOVERY'!A12&lt;&gt;"",IF('10 - RECOVERY'!I12="","",'10 - RECOVERY'!I12),"")</f>
        <v/>
      </c>
      <c r="AH340" t="str">
        <f>IF('10 - RECOVERY'!A12&lt;&gt;"",IF('10 - RECOVERY'!J12="","",'10 - RECOVERY'!J12),"")</f>
        <v/>
      </c>
      <c r="AI340" t="str">
        <f>IF('10 - RECOVERY'!A12&lt;&gt;"",IF('10 - RECOVERY'!AL12="","",'10 - RECOVERY'!AL12),"")</f>
        <v/>
      </c>
      <c r="AJ340" t="str">
        <f>IF('10 - RECOVERY'!A12&lt;&gt;"","10 - RECOVERY row 12","")</f>
        <v/>
      </c>
      <c r="AK340">
        <f>IF(AND('10 - RECOVERY'!A12&lt;&gt;"",OR('10 - RECOVERY'!AL12&lt;&gt;"Closed",'10 - RECOVERY'!G12&lt;&gt;""),OR(AC340&lt;&gt;"",AD340&lt;&gt;"")),IF(Y340="Critical",1,IF(Y340="Review",2,3))*100000000+IF(ISNUMBER(AF340),AF340,99999)*1000+ROW(),999999999999)</f>
        <v>999999999999</v>
      </c>
      <c r="AL340">
        <f t="shared" si="30"/>
        <v>999999999999</v>
      </c>
      <c r="AM340">
        <f t="shared" si="34"/>
        <v>999999999999</v>
      </c>
      <c r="AN340">
        <f t="shared" si="35"/>
        <v>999999999999</v>
      </c>
      <c r="AO340">
        <f t="shared" si="31"/>
        <v>999999999999</v>
      </c>
      <c r="AP340">
        <f t="shared" si="29"/>
        <v>999999999999</v>
      </c>
      <c r="AQ340">
        <f t="shared" si="36"/>
        <v>999999999999</v>
      </c>
      <c r="AR340">
        <f t="shared" si="32"/>
        <v>0</v>
      </c>
    </row>
    <row r="341" spans="25:44">
      <c r="Y341" t="str">
        <f>IF('10 - RECOVERY'!A13&lt;&gt;"",IF('10 - RECOVERY'!F13="","",'10 - RECOVERY'!F13),"")</f>
        <v/>
      </c>
      <c r="Z341" t="str">
        <f>IF('10 - RECOVERY'!A13&lt;&gt;"","Recovery","")</f>
        <v/>
      </c>
      <c r="AA341" t="str">
        <f>IF('10 - RECOVERY'!A13&lt;&gt;"",IF('10 - RECOVERY'!A13="","",'10 - RECOVERY'!A13),"")</f>
        <v/>
      </c>
      <c r="AB341" t="str">
        <f>IF('10 - RECOVERY'!A13&lt;&gt;"",IF('10 - RECOVERY'!B13="","",'10 - RECOVERY'!B13),"")</f>
        <v/>
      </c>
      <c r="AC341" t="str">
        <f>IF('10 - RECOVERY'!A13&lt;&gt;"",IF('10 - RECOVERY'!G13="","",'10 - RECOVERY'!G13),"")</f>
        <v/>
      </c>
      <c r="AD341" t="str">
        <f>IF('10 - RECOVERY'!A13&lt;&gt;"",IF('10 - RECOVERY'!H13="","",'10 - RECOVERY'!H13),"")</f>
        <v/>
      </c>
      <c r="AE341" t="str">
        <f>IF('10 - RECOVERY'!A13&lt;&gt;"",IF('10 - RECOVERY'!D13="","",'10 - RECOVERY'!D13),"")</f>
        <v/>
      </c>
      <c r="AF341" s="17" t="str">
        <f>IF('10 - RECOVERY'!A13&lt;&gt;"",IF('10 - RECOVERY'!E13="","",'10 - RECOVERY'!E13),"")</f>
        <v/>
      </c>
      <c r="AG341" t="str">
        <f>IF('10 - RECOVERY'!A13&lt;&gt;"",IF('10 - RECOVERY'!I13="","",'10 - RECOVERY'!I13),"")</f>
        <v/>
      </c>
      <c r="AH341" t="str">
        <f>IF('10 - RECOVERY'!A13&lt;&gt;"",IF('10 - RECOVERY'!J13="","",'10 - RECOVERY'!J13),"")</f>
        <v/>
      </c>
      <c r="AI341" t="str">
        <f>IF('10 - RECOVERY'!A13&lt;&gt;"",IF('10 - RECOVERY'!AL13="","",'10 - RECOVERY'!AL13),"")</f>
        <v/>
      </c>
      <c r="AJ341" t="str">
        <f>IF('10 - RECOVERY'!A13&lt;&gt;"","10 - RECOVERY row 13","")</f>
        <v/>
      </c>
      <c r="AK341">
        <f>IF(AND('10 - RECOVERY'!A13&lt;&gt;"",OR('10 - RECOVERY'!AL13&lt;&gt;"Closed",'10 - RECOVERY'!G13&lt;&gt;""),OR(AC341&lt;&gt;"",AD341&lt;&gt;"")),IF(Y341="Critical",1,IF(Y341="Review",2,3))*100000000+IF(ISNUMBER(AF341),AF341,99999)*1000+ROW(),999999999999)</f>
        <v>999999999999</v>
      </c>
      <c r="AL341">
        <f t="shared" si="30"/>
        <v>999999999999</v>
      </c>
      <c r="AM341">
        <f t="shared" si="34"/>
        <v>999999999999</v>
      </c>
      <c r="AN341">
        <f t="shared" si="35"/>
        <v>999999999999</v>
      </c>
      <c r="AO341">
        <f t="shared" si="31"/>
        <v>999999999999</v>
      </c>
      <c r="AP341">
        <f t="shared" si="29"/>
        <v>999999999999</v>
      </c>
      <c r="AQ341">
        <f t="shared" si="36"/>
        <v>999999999999</v>
      </c>
      <c r="AR341">
        <f t="shared" si="32"/>
        <v>0</v>
      </c>
    </row>
    <row r="342" spans="25:44">
      <c r="Y342" t="str">
        <f>IF('10 - RECOVERY'!A14&lt;&gt;"",IF('10 - RECOVERY'!F14="","",'10 - RECOVERY'!F14),"")</f>
        <v/>
      </c>
      <c r="Z342" t="str">
        <f>IF('10 - RECOVERY'!A14&lt;&gt;"","Recovery","")</f>
        <v/>
      </c>
      <c r="AA342" t="str">
        <f>IF('10 - RECOVERY'!A14&lt;&gt;"",IF('10 - RECOVERY'!A14="","",'10 - RECOVERY'!A14),"")</f>
        <v/>
      </c>
      <c r="AB342" t="str">
        <f>IF('10 - RECOVERY'!A14&lt;&gt;"",IF('10 - RECOVERY'!B14="","",'10 - RECOVERY'!B14),"")</f>
        <v/>
      </c>
      <c r="AC342" t="str">
        <f>IF('10 - RECOVERY'!A14&lt;&gt;"",IF('10 - RECOVERY'!G14="","",'10 - RECOVERY'!G14),"")</f>
        <v/>
      </c>
      <c r="AD342" t="str">
        <f>IF('10 - RECOVERY'!A14&lt;&gt;"",IF('10 - RECOVERY'!H14="","",'10 - RECOVERY'!H14),"")</f>
        <v/>
      </c>
      <c r="AE342" t="str">
        <f>IF('10 - RECOVERY'!A14&lt;&gt;"",IF('10 - RECOVERY'!D14="","",'10 - RECOVERY'!D14),"")</f>
        <v/>
      </c>
      <c r="AF342" s="17" t="str">
        <f>IF('10 - RECOVERY'!A14&lt;&gt;"",IF('10 - RECOVERY'!E14="","",'10 - RECOVERY'!E14),"")</f>
        <v/>
      </c>
      <c r="AG342" t="str">
        <f>IF('10 - RECOVERY'!A14&lt;&gt;"",IF('10 - RECOVERY'!I14="","",'10 - RECOVERY'!I14),"")</f>
        <v/>
      </c>
      <c r="AH342" t="str">
        <f>IF('10 - RECOVERY'!A14&lt;&gt;"",IF('10 - RECOVERY'!J14="","",'10 - RECOVERY'!J14),"")</f>
        <v/>
      </c>
      <c r="AI342" t="str">
        <f>IF('10 - RECOVERY'!A14&lt;&gt;"",IF('10 - RECOVERY'!AL14="","",'10 - RECOVERY'!AL14),"")</f>
        <v/>
      </c>
      <c r="AJ342" t="str">
        <f>IF('10 - RECOVERY'!A14&lt;&gt;"","10 - RECOVERY row 14","")</f>
        <v/>
      </c>
      <c r="AK342">
        <f>IF(AND('10 - RECOVERY'!A14&lt;&gt;"",OR('10 - RECOVERY'!AL14&lt;&gt;"Closed",'10 - RECOVERY'!G14&lt;&gt;""),OR(AC342&lt;&gt;"",AD342&lt;&gt;"")),IF(Y342="Critical",1,IF(Y342="Review",2,3))*100000000+IF(ISNUMBER(AF342),AF342,99999)*1000+ROW(),999999999999)</f>
        <v>999999999999</v>
      </c>
      <c r="AL342">
        <f t="shared" si="30"/>
        <v>999999999999</v>
      </c>
      <c r="AM342">
        <f t="shared" si="34"/>
        <v>999999999999</v>
      </c>
      <c r="AN342">
        <f t="shared" si="35"/>
        <v>999999999999</v>
      </c>
      <c r="AO342">
        <f t="shared" si="31"/>
        <v>999999999999</v>
      </c>
      <c r="AP342">
        <f t="shared" si="29"/>
        <v>999999999999</v>
      </c>
      <c r="AQ342">
        <f t="shared" si="36"/>
        <v>999999999999</v>
      </c>
      <c r="AR342">
        <f t="shared" si="32"/>
        <v>0</v>
      </c>
    </row>
    <row r="343" spans="25:44">
      <c r="Y343" t="str">
        <f>IF('10 - RECOVERY'!A15&lt;&gt;"",IF('10 - RECOVERY'!F15="","",'10 - RECOVERY'!F15),"")</f>
        <v/>
      </c>
      <c r="Z343" t="str">
        <f>IF('10 - RECOVERY'!A15&lt;&gt;"","Recovery","")</f>
        <v/>
      </c>
      <c r="AA343" t="str">
        <f>IF('10 - RECOVERY'!A15&lt;&gt;"",IF('10 - RECOVERY'!A15="","",'10 - RECOVERY'!A15),"")</f>
        <v/>
      </c>
      <c r="AB343" t="str">
        <f>IF('10 - RECOVERY'!A15&lt;&gt;"",IF('10 - RECOVERY'!B15="","",'10 - RECOVERY'!B15),"")</f>
        <v/>
      </c>
      <c r="AC343" t="str">
        <f>IF('10 - RECOVERY'!A15&lt;&gt;"",IF('10 - RECOVERY'!G15="","",'10 - RECOVERY'!G15),"")</f>
        <v/>
      </c>
      <c r="AD343" t="str">
        <f>IF('10 - RECOVERY'!A15&lt;&gt;"",IF('10 - RECOVERY'!H15="","",'10 - RECOVERY'!H15),"")</f>
        <v/>
      </c>
      <c r="AE343" t="str">
        <f>IF('10 - RECOVERY'!A15&lt;&gt;"",IF('10 - RECOVERY'!D15="","",'10 - RECOVERY'!D15),"")</f>
        <v/>
      </c>
      <c r="AF343" s="17" t="str">
        <f>IF('10 - RECOVERY'!A15&lt;&gt;"",IF('10 - RECOVERY'!E15="","",'10 - RECOVERY'!E15),"")</f>
        <v/>
      </c>
      <c r="AG343" t="str">
        <f>IF('10 - RECOVERY'!A15&lt;&gt;"",IF('10 - RECOVERY'!I15="","",'10 - RECOVERY'!I15),"")</f>
        <v/>
      </c>
      <c r="AH343" t="str">
        <f>IF('10 - RECOVERY'!A15&lt;&gt;"",IF('10 - RECOVERY'!J15="","",'10 - RECOVERY'!J15),"")</f>
        <v/>
      </c>
      <c r="AI343" t="str">
        <f>IF('10 - RECOVERY'!A15&lt;&gt;"",IF('10 - RECOVERY'!AL15="","",'10 - RECOVERY'!AL15),"")</f>
        <v/>
      </c>
      <c r="AJ343" t="str">
        <f>IF('10 - RECOVERY'!A15&lt;&gt;"","10 - RECOVERY row 15","")</f>
        <v/>
      </c>
      <c r="AK343">
        <f>IF(AND('10 - RECOVERY'!A15&lt;&gt;"",OR('10 - RECOVERY'!AL15&lt;&gt;"Closed",'10 - RECOVERY'!G15&lt;&gt;""),OR(AC343&lt;&gt;"",AD343&lt;&gt;"")),IF(Y343="Critical",1,IF(Y343="Review",2,3))*100000000+IF(ISNUMBER(AF343),AF343,99999)*1000+ROW(),999999999999)</f>
        <v>999999999999</v>
      </c>
      <c r="AL343">
        <f t="shared" si="30"/>
        <v>999999999999</v>
      </c>
      <c r="AM343">
        <f t="shared" si="34"/>
        <v>999999999999</v>
      </c>
      <c r="AN343">
        <f t="shared" si="35"/>
        <v>999999999999</v>
      </c>
      <c r="AO343">
        <f t="shared" si="31"/>
        <v>999999999999</v>
      </c>
      <c r="AP343">
        <f t="shared" ref="AP343:AP406" si="37">IF(AND(ISNUMBER(AK343),FALSE),AK343,999999999999)</f>
        <v>999999999999</v>
      </c>
      <c r="AQ343">
        <f t="shared" si="36"/>
        <v>999999999999</v>
      </c>
      <c r="AR343">
        <f t="shared" si="32"/>
        <v>0</v>
      </c>
    </row>
    <row r="344" spans="25:44">
      <c r="Y344" t="str">
        <f>IF('10 - RECOVERY'!A16&lt;&gt;"",IF('10 - RECOVERY'!F16="","",'10 - RECOVERY'!F16),"")</f>
        <v/>
      </c>
      <c r="Z344" t="str">
        <f>IF('10 - RECOVERY'!A16&lt;&gt;"","Recovery","")</f>
        <v/>
      </c>
      <c r="AA344" t="str">
        <f>IF('10 - RECOVERY'!A16&lt;&gt;"",IF('10 - RECOVERY'!A16="","",'10 - RECOVERY'!A16),"")</f>
        <v/>
      </c>
      <c r="AB344" t="str">
        <f>IF('10 - RECOVERY'!A16&lt;&gt;"",IF('10 - RECOVERY'!B16="","",'10 - RECOVERY'!B16),"")</f>
        <v/>
      </c>
      <c r="AC344" t="str">
        <f>IF('10 - RECOVERY'!A16&lt;&gt;"",IF('10 - RECOVERY'!G16="","",'10 - RECOVERY'!G16),"")</f>
        <v/>
      </c>
      <c r="AD344" t="str">
        <f>IF('10 - RECOVERY'!A16&lt;&gt;"",IF('10 - RECOVERY'!H16="","",'10 - RECOVERY'!H16),"")</f>
        <v/>
      </c>
      <c r="AE344" t="str">
        <f>IF('10 - RECOVERY'!A16&lt;&gt;"",IF('10 - RECOVERY'!D16="","",'10 - RECOVERY'!D16),"")</f>
        <v/>
      </c>
      <c r="AF344" s="17" t="str">
        <f>IF('10 - RECOVERY'!A16&lt;&gt;"",IF('10 - RECOVERY'!E16="","",'10 - RECOVERY'!E16),"")</f>
        <v/>
      </c>
      <c r="AG344" t="str">
        <f>IF('10 - RECOVERY'!A16&lt;&gt;"",IF('10 - RECOVERY'!I16="","",'10 - RECOVERY'!I16),"")</f>
        <v/>
      </c>
      <c r="AH344" t="str">
        <f>IF('10 - RECOVERY'!A16&lt;&gt;"",IF('10 - RECOVERY'!J16="","",'10 - RECOVERY'!J16),"")</f>
        <v/>
      </c>
      <c r="AI344" t="str">
        <f>IF('10 - RECOVERY'!A16&lt;&gt;"",IF('10 - RECOVERY'!AL16="","",'10 - RECOVERY'!AL16),"")</f>
        <v/>
      </c>
      <c r="AJ344" t="str">
        <f>IF('10 - RECOVERY'!A16&lt;&gt;"","10 - RECOVERY row 16","")</f>
        <v/>
      </c>
      <c r="AK344">
        <f>IF(AND('10 - RECOVERY'!A16&lt;&gt;"",OR('10 - RECOVERY'!AL16&lt;&gt;"Closed",'10 - RECOVERY'!G16&lt;&gt;""),OR(AC344&lt;&gt;"",AD344&lt;&gt;"")),IF(Y344="Critical",1,IF(Y344="Review",2,3))*100000000+IF(ISNUMBER(AF344),AF344,99999)*1000+ROW(),999999999999)</f>
        <v>999999999999</v>
      </c>
      <c r="AL344">
        <f t="shared" si="30"/>
        <v>999999999999</v>
      </c>
      <c r="AM344">
        <f t="shared" si="34"/>
        <v>999999999999</v>
      </c>
      <c r="AN344">
        <f t="shared" si="35"/>
        <v>999999999999</v>
      </c>
      <c r="AO344">
        <f t="shared" si="31"/>
        <v>999999999999</v>
      </c>
      <c r="AP344">
        <f t="shared" si="37"/>
        <v>999999999999</v>
      </c>
      <c r="AQ344">
        <f t="shared" si="36"/>
        <v>999999999999</v>
      </c>
      <c r="AR344">
        <f t="shared" si="32"/>
        <v>0</v>
      </c>
    </row>
    <row r="345" spans="25:44">
      <c r="Y345" t="str">
        <f>IF('10 - RECOVERY'!A17&lt;&gt;"",IF('10 - RECOVERY'!F17="","",'10 - RECOVERY'!F17),"")</f>
        <v/>
      </c>
      <c r="Z345" t="str">
        <f>IF('10 - RECOVERY'!A17&lt;&gt;"","Recovery","")</f>
        <v/>
      </c>
      <c r="AA345" t="str">
        <f>IF('10 - RECOVERY'!A17&lt;&gt;"",IF('10 - RECOVERY'!A17="","",'10 - RECOVERY'!A17),"")</f>
        <v/>
      </c>
      <c r="AB345" t="str">
        <f>IF('10 - RECOVERY'!A17&lt;&gt;"",IF('10 - RECOVERY'!B17="","",'10 - RECOVERY'!B17),"")</f>
        <v/>
      </c>
      <c r="AC345" t="str">
        <f>IF('10 - RECOVERY'!A17&lt;&gt;"",IF('10 - RECOVERY'!G17="","",'10 - RECOVERY'!G17),"")</f>
        <v/>
      </c>
      <c r="AD345" t="str">
        <f>IF('10 - RECOVERY'!A17&lt;&gt;"",IF('10 - RECOVERY'!H17="","",'10 - RECOVERY'!H17),"")</f>
        <v/>
      </c>
      <c r="AE345" t="str">
        <f>IF('10 - RECOVERY'!A17&lt;&gt;"",IF('10 - RECOVERY'!D17="","",'10 - RECOVERY'!D17),"")</f>
        <v/>
      </c>
      <c r="AF345" s="17" t="str">
        <f>IF('10 - RECOVERY'!A17&lt;&gt;"",IF('10 - RECOVERY'!E17="","",'10 - RECOVERY'!E17),"")</f>
        <v/>
      </c>
      <c r="AG345" t="str">
        <f>IF('10 - RECOVERY'!A17&lt;&gt;"",IF('10 - RECOVERY'!I17="","",'10 - RECOVERY'!I17),"")</f>
        <v/>
      </c>
      <c r="AH345" t="str">
        <f>IF('10 - RECOVERY'!A17&lt;&gt;"",IF('10 - RECOVERY'!J17="","",'10 - RECOVERY'!J17),"")</f>
        <v/>
      </c>
      <c r="AI345" t="str">
        <f>IF('10 - RECOVERY'!A17&lt;&gt;"",IF('10 - RECOVERY'!AL17="","",'10 - RECOVERY'!AL17),"")</f>
        <v/>
      </c>
      <c r="AJ345" t="str">
        <f>IF('10 - RECOVERY'!A17&lt;&gt;"","10 - RECOVERY row 17","")</f>
        <v/>
      </c>
      <c r="AK345">
        <f>IF(AND('10 - RECOVERY'!A17&lt;&gt;"",OR('10 - RECOVERY'!AL17&lt;&gt;"Closed",'10 - RECOVERY'!G17&lt;&gt;""),OR(AC345&lt;&gt;"",AD345&lt;&gt;"")),IF(Y345="Critical",1,IF(Y345="Review",2,3))*100000000+IF(ISNUMBER(AF345),AF345,99999)*1000+ROW(),999999999999)</f>
        <v>999999999999</v>
      </c>
      <c r="AL345">
        <f t="shared" si="30"/>
        <v>999999999999</v>
      </c>
      <c r="AM345">
        <f t="shared" si="34"/>
        <v>999999999999</v>
      </c>
      <c r="AN345">
        <f t="shared" si="35"/>
        <v>999999999999</v>
      </c>
      <c r="AO345">
        <f t="shared" si="31"/>
        <v>999999999999</v>
      </c>
      <c r="AP345">
        <f t="shared" si="37"/>
        <v>999999999999</v>
      </c>
      <c r="AQ345">
        <f t="shared" si="36"/>
        <v>999999999999</v>
      </c>
      <c r="AR345">
        <f t="shared" si="32"/>
        <v>0</v>
      </c>
    </row>
    <row r="346" spans="25:44">
      <c r="Y346" t="str">
        <f>IF('10 - RECOVERY'!A18&lt;&gt;"",IF('10 - RECOVERY'!F18="","",'10 - RECOVERY'!F18),"")</f>
        <v/>
      </c>
      <c r="Z346" t="str">
        <f>IF('10 - RECOVERY'!A18&lt;&gt;"","Recovery","")</f>
        <v/>
      </c>
      <c r="AA346" t="str">
        <f>IF('10 - RECOVERY'!A18&lt;&gt;"",IF('10 - RECOVERY'!A18="","",'10 - RECOVERY'!A18),"")</f>
        <v/>
      </c>
      <c r="AB346" t="str">
        <f>IF('10 - RECOVERY'!A18&lt;&gt;"",IF('10 - RECOVERY'!B18="","",'10 - RECOVERY'!B18),"")</f>
        <v/>
      </c>
      <c r="AC346" t="str">
        <f>IF('10 - RECOVERY'!A18&lt;&gt;"",IF('10 - RECOVERY'!G18="","",'10 - RECOVERY'!G18),"")</f>
        <v/>
      </c>
      <c r="AD346" t="str">
        <f>IF('10 - RECOVERY'!A18&lt;&gt;"",IF('10 - RECOVERY'!H18="","",'10 - RECOVERY'!H18),"")</f>
        <v/>
      </c>
      <c r="AE346" t="str">
        <f>IF('10 - RECOVERY'!A18&lt;&gt;"",IF('10 - RECOVERY'!D18="","",'10 - RECOVERY'!D18),"")</f>
        <v/>
      </c>
      <c r="AF346" s="17" t="str">
        <f>IF('10 - RECOVERY'!A18&lt;&gt;"",IF('10 - RECOVERY'!E18="","",'10 - RECOVERY'!E18),"")</f>
        <v/>
      </c>
      <c r="AG346" t="str">
        <f>IF('10 - RECOVERY'!A18&lt;&gt;"",IF('10 - RECOVERY'!I18="","",'10 - RECOVERY'!I18),"")</f>
        <v/>
      </c>
      <c r="AH346" t="str">
        <f>IF('10 - RECOVERY'!A18&lt;&gt;"",IF('10 - RECOVERY'!J18="","",'10 - RECOVERY'!J18),"")</f>
        <v/>
      </c>
      <c r="AI346" t="str">
        <f>IF('10 - RECOVERY'!A18&lt;&gt;"",IF('10 - RECOVERY'!AL18="","",'10 - RECOVERY'!AL18),"")</f>
        <v/>
      </c>
      <c r="AJ346" t="str">
        <f>IF('10 - RECOVERY'!A18&lt;&gt;"","10 - RECOVERY row 18","")</f>
        <v/>
      </c>
      <c r="AK346">
        <f>IF(AND('10 - RECOVERY'!A18&lt;&gt;"",OR('10 - RECOVERY'!AL18&lt;&gt;"Closed",'10 - RECOVERY'!G18&lt;&gt;""),OR(AC346&lt;&gt;"",AD346&lt;&gt;"")),IF(Y346="Critical",1,IF(Y346="Review",2,3))*100000000+IF(ISNUMBER(AF346),AF346,99999)*1000+ROW(),999999999999)</f>
        <v>999999999999</v>
      </c>
      <c r="AL346">
        <f t="shared" si="30"/>
        <v>999999999999</v>
      </c>
      <c r="AM346">
        <f t="shared" si="34"/>
        <v>999999999999</v>
      </c>
      <c r="AN346">
        <f t="shared" si="35"/>
        <v>999999999999</v>
      </c>
      <c r="AO346">
        <f t="shared" si="31"/>
        <v>999999999999</v>
      </c>
      <c r="AP346">
        <f t="shared" si="37"/>
        <v>999999999999</v>
      </c>
      <c r="AQ346">
        <f t="shared" si="36"/>
        <v>999999999999</v>
      </c>
      <c r="AR346">
        <f t="shared" si="32"/>
        <v>0</v>
      </c>
    </row>
    <row r="347" spans="25:44">
      <c r="Y347" t="str">
        <f>IF('10 - RECOVERY'!A19&lt;&gt;"",IF('10 - RECOVERY'!F19="","",'10 - RECOVERY'!F19),"")</f>
        <v/>
      </c>
      <c r="Z347" t="str">
        <f>IF('10 - RECOVERY'!A19&lt;&gt;"","Recovery","")</f>
        <v/>
      </c>
      <c r="AA347" t="str">
        <f>IF('10 - RECOVERY'!A19&lt;&gt;"",IF('10 - RECOVERY'!A19="","",'10 - RECOVERY'!A19),"")</f>
        <v/>
      </c>
      <c r="AB347" t="str">
        <f>IF('10 - RECOVERY'!A19&lt;&gt;"",IF('10 - RECOVERY'!B19="","",'10 - RECOVERY'!B19),"")</f>
        <v/>
      </c>
      <c r="AC347" t="str">
        <f>IF('10 - RECOVERY'!A19&lt;&gt;"",IF('10 - RECOVERY'!G19="","",'10 - RECOVERY'!G19),"")</f>
        <v/>
      </c>
      <c r="AD347" t="str">
        <f>IF('10 - RECOVERY'!A19&lt;&gt;"",IF('10 - RECOVERY'!H19="","",'10 - RECOVERY'!H19),"")</f>
        <v/>
      </c>
      <c r="AE347" t="str">
        <f>IF('10 - RECOVERY'!A19&lt;&gt;"",IF('10 - RECOVERY'!D19="","",'10 - RECOVERY'!D19),"")</f>
        <v/>
      </c>
      <c r="AF347" s="17" t="str">
        <f>IF('10 - RECOVERY'!A19&lt;&gt;"",IF('10 - RECOVERY'!E19="","",'10 - RECOVERY'!E19),"")</f>
        <v/>
      </c>
      <c r="AG347" t="str">
        <f>IF('10 - RECOVERY'!A19&lt;&gt;"",IF('10 - RECOVERY'!I19="","",'10 - RECOVERY'!I19),"")</f>
        <v/>
      </c>
      <c r="AH347" t="str">
        <f>IF('10 - RECOVERY'!A19&lt;&gt;"",IF('10 - RECOVERY'!J19="","",'10 - RECOVERY'!J19),"")</f>
        <v/>
      </c>
      <c r="AI347" t="str">
        <f>IF('10 - RECOVERY'!A19&lt;&gt;"",IF('10 - RECOVERY'!AL19="","",'10 - RECOVERY'!AL19),"")</f>
        <v/>
      </c>
      <c r="AJ347" t="str">
        <f>IF('10 - RECOVERY'!A19&lt;&gt;"","10 - RECOVERY row 19","")</f>
        <v/>
      </c>
      <c r="AK347">
        <f>IF(AND('10 - RECOVERY'!A19&lt;&gt;"",OR('10 - RECOVERY'!AL19&lt;&gt;"Closed",'10 - RECOVERY'!G19&lt;&gt;""),OR(AC347&lt;&gt;"",AD347&lt;&gt;"")),IF(Y347="Critical",1,IF(Y347="Review",2,3))*100000000+IF(ISNUMBER(AF347),AF347,99999)*1000+ROW(),999999999999)</f>
        <v>999999999999</v>
      </c>
      <c r="AL347">
        <f t="shared" si="30"/>
        <v>999999999999</v>
      </c>
      <c r="AM347">
        <f t="shared" si="34"/>
        <v>999999999999</v>
      </c>
      <c r="AN347">
        <f t="shared" si="35"/>
        <v>999999999999</v>
      </c>
      <c r="AO347">
        <f t="shared" si="31"/>
        <v>999999999999</v>
      </c>
      <c r="AP347">
        <f t="shared" si="37"/>
        <v>999999999999</v>
      </c>
      <c r="AQ347">
        <f t="shared" si="36"/>
        <v>999999999999</v>
      </c>
      <c r="AR347">
        <f t="shared" si="32"/>
        <v>0</v>
      </c>
    </row>
    <row r="348" spans="25:44">
      <c r="Y348" t="str">
        <f>IF('10 - RECOVERY'!A20&lt;&gt;"",IF('10 - RECOVERY'!F20="","",'10 - RECOVERY'!F20),"")</f>
        <v/>
      </c>
      <c r="Z348" t="str">
        <f>IF('10 - RECOVERY'!A20&lt;&gt;"","Recovery","")</f>
        <v/>
      </c>
      <c r="AA348" t="str">
        <f>IF('10 - RECOVERY'!A20&lt;&gt;"",IF('10 - RECOVERY'!A20="","",'10 - RECOVERY'!A20),"")</f>
        <v/>
      </c>
      <c r="AB348" t="str">
        <f>IF('10 - RECOVERY'!A20&lt;&gt;"",IF('10 - RECOVERY'!B20="","",'10 - RECOVERY'!B20),"")</f>
        <v/>
      </c>
      <c r="AC348" t="str">
        <f>IF('10 - RECOVERY'!A20&lt;&gt;"",IF('10 - RECOVERY'!G20="","",'10 - RECOVERY'!G20),"")</f>
        <v/>
      </c>
      <c r="AD348" t="str">
        <f>IF('10 - RECOVERY'!A20&lt;&gt;"",IF('10 - RECOVERY'!H20="","",'10 - RECOVERY'!H20),"")</f>
        <v/>
      </c>
      <c r="AE348" t="str">
        <f>IF('10 - RECOVERY'!A20&lt;&gt;"",IF('10 - RECOVERY'!D20="","",'10 - RECOVERY'!D20),"")</f>
        <v/>
      </c>
      <c r="AF348" s="17" t="str">
        <f>IF('10 - RECOVERY'!A20&lt;&gt;"",IF('10 - RECOVERY'!E20="","",'10 - RECOVERY'!E20),"")</f>
        <v/>
      </c>
      <c r="AG348" t="str">
        <f>IF('10 - RECOVERY'!A20&lt;&gt;"",IF('10 - RECOVERY'!I20="","",'10 - RECOVERY'!I20),"")</f>
        <v/>
      </c>
      <c r="AH348" t="str">
        <f>IF('10 - RECOVERY'!A20&lt;&gt;"",IF('10 - RECOVERY'!J20="","",'10 - RECOVERY'!J20),"")</f>
        <v/>
      </c>
      <c r="AI348" t="str">
        <f>IF('10 - RECOVERY'!A20&lt;&gt;"",IF('10 - RECOVERY'!AL20="","",'10 - RECOVERY'!AL20),"")</f>
        <v/>
      </c>
      <c r="AJ348" t="str">
        <f>IF('10 - RECOVERY'!A20&lt;&gt;"","10 - RECOVERY row 20","")</f>
        <v/>
      </c>
      <c r="AK348">
        <f>IF(AND('10 - RECOVERY'!A20&lt;&gt;"",OR('10 - RECOVERY'!AL20&lt;&gt;"Closed",'10 - RECOVERY'!G20&lt;&gt;""),OR(AC348&lt;&gt;"",AD348&lt;&gt;"")),IF(Y348="Critical",1,IF(Y348="Review",2,3))*100000000+IF(ISNUMBER(AF348),AF348,99999)*1000+ROW(),999999999999)</f>
        <v>999999999999</v>
      </c>
      <c r="AL348">
        <f t="shared" si="30"/>
        <v>999999999999</v>
      </c>
      <c r="AM348">
        <f t="shared" si="34"/>
        <v>999999999999</v>
      </c>
      <c r="AN348">
        <f t="shared" si="35"/>
        <v>999999999999</v>
      </c>
      <c r="AO348">
        <f t="shared" si="31"/>
        <v>999999999999</v>
      </c>
      <c r="AP348">
        <f t="shared" si="37"/>
        <v>999999999999</v>
      </c>
      <c r="AQ348">
        <f t="shared" si="36"/>
        <v>999999999999</v>
      </c>
      <c r="AR348">
        <f t="shared" si="32"/>
        <v>0</v>
      </c>
    </row>
    <row r="349" spans="25:44">
      <c r="Y349" t="str">
        <f>IF('10 - RECOVERY'!A21&lt;&gt;"",IF('10 - RECOVERY'!F21="","",'10 - RECOVERY'!F21),"")</f>
        <v/>
      </c>
      <c r="Z349" t="str">
        <f>IF('10 - RECOVERY'!A21&lt;&gt;"","Recovery","")</f>
        <v/>
      </c>
      <c r="AA349" t="str">
        <f>IF('10 - RECOVERY'!A21&lt;&gt;"",IF('10 - RECOVERY'!A21="","",'10 - RECOVERY'!A21),"")</f>
        <v/>
      </c>
      <c r="AB349" t="str">
        <f>IF('10 - RECOVERY'!A21&lt;&gt;"",IF('10 - RECOVERY'!B21="","",'10 - RECOVERY'!B21),"")</f>
        <v/>
      </c>
      <c r="AC349" t="str">
        <f>IF('10 - RECOVERY'!A21&lt;&gt;"",IF('10 - RECOVERY'!G21="","",'10 - RECOVERY'!G21),"")</f>
        <v/>
      </c>
      <c r="AD349" t="str">
        <f>IF('10 - RECOVERY'!A21&lt;&gt;"",IF('10 - RECOVERY'!H21="","",'10 - RECOVERY'!H21),"")</f>
        <v/>
      </c>
      <c r="AE349" t="str">
        <f>IF('10 - RECOVERY'!A21&lt;&gt;"",IF('10 - RECOVERY'!D21="","",'10 - RECOVERY'!D21),"")</f>
        <v/>
      </c>
      <c r="AF349" s="17" t="str">
        <f>IF('10 - RECOVERY'!A21&lt;&gt;"",IF('10 - RECOVERY'!E21="","",'10 - RECOVERY'!E21),"")</f>
        <v/>
      </c>
      <c r="AG349" t="str">
        <f>IF('10 - RECOVERY'!A21&lt;&gt;"",IF('10 - RECOVERY'!I21="","",'10 - RECOVERY'!I21),"")</f>
        <v/>
      </c>
      <c r="AH349" t="str">
        <f>IF('10 - RECOVERY'!A21&lt;&gt;"",IF('10 - RECOVERY'!J21="","",'10 - RECOVERY'!J21),"")</f>
        <v/>
      </c>
      <c r="AI349" t="str">
        <f>IF('10 - RECOVERY'!A21&lt;&gt;"",IF('10 - RECOVERY'!AL21="","",'10 - RECOVERY'!AL21),"")</f>
        <v/>
      </c>
      <c r="AJ349" t="str">
        <f>IF('10 - RECOVERY'!A21&lt;&gt;"","10 - RECOVERY row 21","")</f>
        <v/>
      </c>
      <c r="AK349">
        <f>IF(AND('10 - RECOVERY'!A21&lt;&gt;"",OR('10 - RECOVERY'!AL21&lt;&gt;"Closed",'10 - RECOVERY'!G21&lt;&gt;""),OR(AC349&lt;&gt;"",AD349&lt;&gt;"")),IF(Y349="Critical",1,IF(Y349="Review",2,3))*100000000+IF(ISNUMBER(AF349),AF349,99999)*1000+ROW(),999999999999)</f>
        <v>999999999999</v>
      </c>
      <c r="AL349">
        <f t="shared" si="30"/>
        <v>999999999999</v>
      </c>
      <c r="AM349">
        <f t="shared" si="34"/>
        <v>999999999999</v>
      </c>
      <c r="AN349">
        <f t="shared" si="35"/>
        <v>999999999999</v>
      </c>
      <c r="AO349">
        <f t="shared" si="31"/>
        <v>999999999999</v>
      </c>
      <c r="AP349">
        <f t="shared" si="37"/>
        <v>999999999999</v>
      </c>
      <c r="AQ349">
        <f t="shared" si="36"/>
        <v>999999999999</v>
      </c>
      <c r="AR349">
        <f t="shared" si="32"/>
        <v>0</v>
      </c>
    </row>
    <row r="350" spans="25:44">
      <c r="Y350" t="str">
        <f>IF('10 - RECOVERY'!A22&lt;&gt;"",IF('10 - RECOVERY'!F22="","",'10 - RECOVERY'!F22),"")</f>
        <v/>
      </c>
      <c r="Z350" t="str">
        <f>IF('10 - RECOVERY'!A22&lt;&gt;"","Recovery","")</f>
        <v/>
      </c>
      <c r="AA350" t="str">
        <f>IF('10 - RECOVERY'!A22&lt;&gt;"",IF('10 - RECOVERY'!A22="","",'10 - RECOVERY'!A22),"")</f>
        <v/>
      </c>
      <c r="AB350" t="str">
        <f>IF('10 - RECOVERY'!A22&lt;&gt;"",IF('10 - RECOVERY'!B22="","",'10 - RECOVERY'!B22),"")</f>
        <v/>
      </c>
      <c r="AC350" t="str">
        <f>IF('10 - RECOVERY'!A22&lt;&gt;"",IF('10 - RECOVERY'!G22="","",'10 - RECOVERY'!G22),"")</f>
        <v/>
      </c>
      <c r="AD350" t="str">
        <f>IF('10 - RECOVERY'!A22&lt;&gt;"",IF('10 - RECOVERY'!H22="","",'10 - RECOVERY'!H22),"")</f>
        <v/>
      </c>
      <c r="AE350" t="str">
        <f>IF('10 - RECOVERY'!A22&lt;&gt;"",IF('10 - RECOVERY'!D22="","",'10 - RECOVERY'!D22),"")</f>
        <v/>
      </c>
      <c r="AF350" s="17" t="str">
        <f>IF('10 - RECOVERY'!A22&lt;&gt;"",IF('10 - RECOVERY'!E22="","",'10 - RECOVERY'!E22),"")</f>
        <v/>
      </c>
      <c r="AG350" t="str">
        <f>IF('10 - RECOVERY'!A22&lt;&gt;"",IF('10 - RECOVERY'!I22="","",'10 - RECOVERY'!I22),"")</f>
        <v/>
      </c>
      <c r="AH350" t="str">
        <f>IF('10 - RECOVERY'!A22&lt;&gt;"",IF('10 - RECOVERY'!J22="","",'10 - RECOVERY'!J22),"")</f>
        <v/>
      </c>
      <c r="AI350" t="str">
        <f>IF('10 - RECOVERY'!A22&lt;&gt;"",IF('10 - RECOVERY'!AL22="","",'10 - RECOVERY'!AL22),"")</f>
        <v/>
      </c>
      <c r="AJ350" t="str">
        <f>IF('10 - RECOVERY'!A22&lt;&gt;"","10 - RECOVERY row 22","")</f>
        <v/>
      </c>
      <c r="AK350">
        <f>IF(AND('10 - RECOVERY'!A22&lt;&gt;"",OR('10 - RECOVERY'!AL22&lt;&gt;"Closed",'10 - RECOVERY'!G22&lt;&gt;""),OR(AC350&lt;&gt;"",AD350&lt;&gt;"")),IF(Y350="Critical",1,IF(Y350="Review",2,3))*100000000+IF(ISNUMBER(AF350),AF350,99999)*1000+ROW(),999999999999)</f>
        <v>999999999999</v>
      </c>
      <c r="AL350">
        <f t="shared" ref="AL350:AL413" si="38">IF(AND(ISNUMBER(AK350),Y350="Critical"),AK350,999999999999)</f>
        <v>999999999999</v>
      </c>
      <c r="AM350">
        <f t="shared" si="34"/>
        <v>999999999999</v>
      </c>
      <c r="AN350">
        <f t="shared" si="35"/>
        <v>999999999999</v>
      </c>
      <c r="AO350">
        <f t="shared" ref="AO350:AO413" si="39">IF(AND(ISNUMBER(AK350),ISNUMBER(AF350),AF350&gt;=ReviewDate,AF350&lt;=ReviewDate+Upcoming),AF350*1000+ROW(),999999999999)</f>
        <v>999999999999</v>
      </c>
      <c r="AP350">
        <f t="shared" si="37"/>
        <v>999999999999</v>
      </c>
      <c r="AQ350">
        <f t="shared" si="36"/>
        <v>999999999999</v>
      </c>
      <c r="AR350">
        <f t="shared" ref="AR350:AR413" si="40">IF(AC350&lt;&gt;"",1,0)</f>
        <v>0</v>
      </c>
    </row>
    <row r="351" spans="25:44">
      <c r="Y351" t="str">
        <f>IF('10 - RECOVERY'!A23&lt;&gt;"",IF('10 - RECOVERY'!F23="","",'10 - RECOVERY'!F23),"")</f>
        <v/>
      </c>
      <c r="Z351" t="str">
        <f>IF('10 - RECOVERY'!A23&lt;&gt;"","Recovery","")</f>
        <v/>
      </c>
      <c r="AA351" t="str">
        <f>IF('10 - RECOVERY'!A23&lt;&gt;"",IF('10 - RECOVERY'!A23="","",'10 - RECOVERY'!A23),"")</f>
        <v/>
      </c>
      <c r="AB351" t="str">
        <f>IF('10 - RECOVERY'!A23&lt;&gt;"",IF('10 - RECOVERY'!B23="","",'10 - RECOVERY'!B23),"")</f>
        <v/>
      </c>
      <c r="AC351" t="str">
        <f>IF('10 - RECOVERY'!A23&lt;&gt;"",IF('10 - RECOVERY'!G23="","",'10 - RECOVERY'!G23),"")</f>
        <v/>
      </c>
      <c r="AD351" t="str">
        <f>IF('10 - RECOVERY'!A23&lt;&gt;"",IF('10 - RECOVERY'!H23="","",'10 - RECOVERY'!H23),"")</f>
        <v/>
      </c>
      <c r="AE351" t="str">
        <f>IF('10 - RECOVERY'!A23&lt;&gt;"",IF('10 - RECOVERY'!D23="","",'10 - RECOVERY'!D23),"")</f>
        <v/>
      </c>
      <c r="AF351" s="17" t="str">
        <f>IF('10 - RECOVERY'!A23&lt;&gt;"",IF('10 - RECOVERY'!E23="","",'10 - RECOVERY'!E23),"")</f>
        <v/>
      </c>
      <c r="AG351" t="str">
        <f>IF('10 - RECOVERY'!A23&lt;&gt;"",IF('10 - RECOVERY'!I23="","",'10 - RECOVERY'!I23),"")</f>
        <v/>
      </c>
      <c r="AH351" t="str">
        <f>IF('10 - RECOVERY'!A23&lt;&gt;"",IF('10 - RECOVERY'!J23="","",'10 - RECOVERY'!J23),"")</f>
        <v/>
      </c>
      <c r="AI351" t="str">
        <f>IF('10 - RECOVERY'!A23&lt;&gt;"",IF('10 - RECOVERY'!AL23="","",'10 - RECOVERY'!AL23),"")</f>
        <v/>
      </c>
      <c r="AJ351" t="str">
        <f>IF('10 - RECOVERY'!A23&lt;&gt;"","10 - RECOVERY row 23","")</f>
        <v/>
      </c>
      <c r="AK351">
        <f>IF(AND('10 - RECOVERY'!A23&lt;&gt;"",OR('10 - RECOVERY'!AL23&lt;&gt;"Closed",'10 - RECOVERY'!G23&lt;&gt;""),OR(AC351&lt;&gt;"",AD351&lt;&gt;"")),IF(Y351="Critical",1,IF(Y351="Review",2,3))*100000000+IF(ISNUMBER(AF351),AF351,99999)*1000+ROW(),999999999999)</f>
        <v>999999999999</v>
      </c>
      <c r="AL351">
        <f t="shared" si="38"/>
        <v>999999999999</v>
      </c>
      <c r="AM351">
        <f t="shared" si="34"/>
        <v>999999999999</v>
      </c>
      <c r="AN351">
        <f t="shared" ref="AN351:AN382" si="41">IF(AND(ISNUMBER(AK351),FALSE),AK351,999999999999)</f>
        <v>999999999999</v>
      </c>
      <c r="AO351">
        <f t="shared" si="39"/>
        <v>999999999999</v>
      </c>
      <c r="AP351">
        <f t="shared" si="37"/>
        <v>999999999999</v>
      </c>
      <c r="AQ351">
        <f t="shared" si="36"/>
        <v>999999999999</v>
      </c>
      <c r="AR351">
        <f t="shared" si="40"/>
        <v>0</v>
      </c>
    </row>
    <row r="352" spans="25:44">
      <c r="Y352" t="str">
        <f>IF('10 - RECOVERY'!A24&lt;&gt;"",IF('10 - RECOVERY'!F24="","",'10 - RECOVERY'!F24),"")</f>
        <v/>
      </c>
      <c r="Z352" t="str">
        <f>IF('10 - RECOVERY'!A24&lt;&gt;"","Recovery","")</f>
        <v/>
      </c>
      <c r="AA352" t="str">
        <f>IF('10 - RECOVERY'!A24&lt;&gt;"",IF('10 - RECOVERY'!A24="","",'10 - RECOVERY'!A24),"")</f>
        <v/>
      </c>
      <c r="AB352" t="str">
        <f>IF('10 - RECOVERY'!A24&lt;&gt;"",IF('10 - RECOVERY'!B24="","",'10 - RECOVERY'!B24),"")</f>
        <v/>
      </c>
      <c r="AC352" t="str">
        <f>IF('10 - RECOVERY'!A24&lt;&gt;"",IF('10 - RECOVERY'!G24="","",'10 - RECOVERY'!G24),"")</f>
        <v/>
      </c>
      <c r="AD352" t="str">
        <f>IF('10 - RECOVERY'!A24&lt;&gt;"",IF('10 - RECOVERY'!H24="","",'10 - RECOVERY'!H24),"")</f>
        <v/>
      </c>
      <c r="AE352" t="str">
        <f>IF('10 - RECOVERY'!A24&lt;&gt;"",IF('10 - RECOVERY'!D24="","",'10 - RECOVERY'!D24),"")</f>
        <v/>
      </c>
      <c r="AF352" s="17" t="str">
        <f>IF('10 - RECOVERY'!A24&lt;&gt;"",IF('10 - RECOVERY'!E24="","",'10 - RECOVERY'!E24),"")</f>
        <v/>
      </c>
      <c r="AG352" t="str">
        <f>IF('10 - RECOVERY'!A24&lt;&gt;"",IF('10 - RECOVERY'!I24="","",'10 - RECOVERY'!I24),"")</f>
        <v/>
      </c>
      <c r="AH352" t="str">
        <f>IF('10 - RECOVERY'!A24&lt;&gt;"",IF('10 - RECOVERY'!J24="","",'10 - RECOVERY'!J24),"")</f>
        <v/>
      </c>
      <c r="AI352" t="str">
        <f>IF('10 - RECOVERY'!A24&lt;&gt;"",IF('10 - RECOVERY'!AL24="","",'10 - RECOVERY'!AL24),"")</f>
        <v/>
      </c>
      <c r="AJ352" t="str">
        <f>IF('10 - RECOVERY'!A24&lt;&gt;"","10 - RECOVERY row 24","")</f>
        <v/>
      </c>
      <c r="AK352">
        <f>IF(AND('10 - RECOVERY'!A24&lt;&gt;"",OR('10 - RECOVERY'!AL24&lt;&gt;"Closed",'10 - RECOVERY'!G24&lt;&gt;""),OR(AC352&lt;&gt;"",AD352&lt;&gt;"")),IF(Y352="Critical",1,IF(Y352="Review",2,3))*100000000+IF(ISNUMBER(AF352),AF352,99999)*1000+ROW(),999999999999)</f>
        <v>999999999999</v>
      </c>
      <c r="AL352">
        <f t="shared" si="38"/>
        <v>999999999999</v>
      </c>
      <c r="AM352">
        <f t="shared" si="34"/>
        <v>999999999999</v>
      </c>
      <c r="AN352">
        <f t="shared" si="41"/>
        <v>999999999999</v>
      </c>
      <c r="AO352">
        <f t="shared" si="39"/>
        <v>999999999999</v>
      </c>
      <c r="AP352">
        <f t="shared" si="37"/>
        <v>999999999999</v>
      </c>
      <c r="AQ352">
        <f t="shared" si="36"/>
        <v>999999999999</v>
      </c>
      <c r="AR352">
        <f t="shared" si="40"/>
        <v>0</v>
      </c>
    </row>
    <row r="353" spans="25:44">
      <c r="Y353" t="str">
        <f>IF('10 - RECOVERY'!A25&lt;&gt;"",IF('10 - RECOVERY'!F25="","",'10 - RECOVERY'!F25),"")</f>
        <v/>
      </c>
      <c r="Z353" t="str">
        <f>IF('10 - RECOVERY'!A25&lt;&gt;"","Recovery","")</f>
        <v/>
      </c>
      <c r="AA353" t="str">
        <f>IF('10 - RECOVERY'!A25&lt;&gt;"",IF('10 - RECOVERY'!A25="","",'10 - RECOVERY'!A25),"")</f>
        <v/>
      </c>
      <c r="AB353" t="str">
        <f>IF('10 - RECOVERY'!A25&lt;&gt;"",IF('10 - RECOVERY'!B25="","",'10 - RECOVERY'!B25),"")</f>
        <v/>
      </c>
      <c r="AC353" t="str">
        <f>IF('10 - RECOVERY'!A25&lt;&gt;"",IF('10 - RECOVERY'!G25="","",'10 - RECOVERY'!G25),"")</f>
        <v/>
      </c>
      <c r="AD353" t="str">
        <f>IF('10 - RECOVERY'!A25&lt;&gt;"",IF('10 - RECOVERY'!H25="","",'10 - RECOVERY'!H25),"")</f>
        <v/>
      </c>
      <c r="AE353" t="str">
        <f>IF('10 - RECOVERY'!A25&lt;&gt;"",IF('10 - RECOVERY'!D25="","",'10 - RECOVERY'!D25),"")</f>
        <v/>
      </c>
      <c r="AF353" s="17" t="str">
        <f>IF('10 - RECOVERY'!A25&lt;&gt;"",IF('10 - RECOVERY'!E25="","",'10 - RECOVERY'!E25),"")</f>
        <v/>
      </c>
      <c r="AG353" t="str">
        <f>IF('10 - RECOVERY'!A25&lt;&gt;"",IF('10 - RECOVERY'!I25="","",'10 - RECOVERY'!I25),"")</f>
        <v/>
      </c>
      <c r="AH353" t="str">
        <f>IF('10 - RECOVERY'!A25&lt;&gt;"",IF('10 - RECOVERY'!J25="","",'10 - RECOVERY'!J25),"")</f>
        <v/>
      </c>
      <c r="AI353" t="str">
        <f>IF('10 - RECOVERY'!A25&lt;&gt;"",IF('10 - RECOVERY'!AL25="","",'10 - RECOVERY'!AL25),"")</f>
        <v/>
      </c>
      <c r="AJ353" t="str">
        <f>IF('10 - RECOVERY'!A25&lt;&gt;"","10 - RECOVERY row 25","")</f>
        <v/>
      </c>
      <c r="AK353">
        <f>IF(AND('10 - RECOVERY'!A25&lt;&gt;"",OR('10 - RECOVERY'!AL25&lt;&gt;"Closed",'10 - RECOVERY'!G25&lt;&gt;""),OR(AC353&lt;&gt;"",AD353&lt;&gt;"")),IF(Y353="Critical",1,IF(Y353="Review",2,3))*100000000+IF(ISNUMBER(AF353),AF353,99999)*1000+ROW(),999999999999)</f>
        <v>999999999999</v>
      </c>
      <c r="AL353">
        <f t="shared" si="38"/>
        <v>999999999999</v>
      </c>
      <c r="AM353">
        <f t="shared" si="34"/>
        <v>999999999999</v>
      </c>
      <c r="AN353">
        <f t="shared" si="41"/>
        <v>999999999999</v>
      </c>
      <c r="AO353">
        <f t="shared" si="39"/>
        <v>999999999999</v>
      </c>
      <c r="AP353">
        <f t="shared" si="37"/>
        <v>999999999999</v>
      </c>
      <c r="AQ353">
        <f t="shared" si="36"/>
        <v>999999999999</v>
      </c>
      <c r="AR353">
        <f t="shared" si="40"/>
        <v>0</v>
      </c>
    </row>
    <row r="354" spans="25:44">
      <c r="Y354" t="str">
        <f>IF('10 - RECOVERY'!A26&lt;&gt;"",IF('10 - RECOVERY'!F26="","",'10 - RECOVERY'!F26),"")</f>
        <v/>
      </c>
      <c r="Z354" t="str">
        <f>IF('10 - RECOVERY'!A26&lt;&gt;"","Recovery","")</f>
        <v/>
      </c>
      <c r="AA354" t="str">
        <f>IF('10 - RECOVERY'!A26&lt;&gt;"",IF('10 - RECOVERY'!A26="","",'10 - RECOVERY'!A26),"")</f>
        <v/>
      </c>
      <c r="AB354" t="str">
        <f>IF('10 - RECOVERY'!A26&lt;&gt;"",IF('10 - RECOVERY'!B26="","",'10 - RECOVERY'!B26),"")</f>
        <v/>
      </c>
      <c r="AC354" t="str">
        <f>IF('10 - RECOVERY'!A26&lt;&gt;"",IF('10 - RECOVERY'!G26="","",'10 - RECOVERY'!G26),"")</f>
        <v/>
      </c>
      <c r="AD354" t="str">
        <f>IF('10 - RECOVERY'!A26&lt;&gt;"",IF('10 - RECOVERY'!H26="","",'10 - RECOVERY'!H26),"")</f>
        <v/>
      </c>
      <c r="AE354" t="str">
        <f>IF('10 - RECOVERY'!A26&lt;&gt;"",IF('10 - RECOVERY'!D26="","",'10 - RECOVERY'!D26),"")</f>
        <v/>
      </c>
      <c r="AF354" s="17" t="str">
        <f>IF('10 - RECOVERY'!A26&lt;&gt;"",IF('10 - RECOVERY'!E26="","",'10 - RECOVERY'!E26),"")</f>
        <v/>
      </c>
      <c r="AG354" t="str">
        <f>IF('10 - RECOVERY'!A26&lt;&gt;"",IF('10 - RECOVERY'!I26="","",'10 - RECOVERY'!I26),"")</f>
        <v/>
      </c>
      <c r="AH354" t="str">
        <f>IF('10 - RECOVERY'!A26&lt;&gt;"",IF('10 - RECOVERY'!J26="","",'10 - RECOVERY'!J26),"")</f>
        <v/>
      </c>
      <c r="AI354" t="str">
        <f>IF('10 - RECOVERY'!A26&lt;&gt;"",IF('10 - RECOVERY'!AL26="","",'10 - RECOVERY'!AL26),"")</f>
        <v/>
      </c>
      <c r="AJ354" t="str">
        <f>IF('10 - RECOVERY'!A26&lt;&gt;"","10 - RECOVERY row 26","")</f>
        <v/>
      </c>
      <c r="AK354">
        <f>IF(AND('10 - RECOVERY'!A26&lt;&gt;"",OR('10 - RECOVERY'!AL26&lt;&gt;"Closed",'10 - RECOVERY'!G26&lt;&gt;""),OR(AC354&lt;&gt;"",AD354&lt;&gt;"")),IF(Y354="Critical",1,IF(Y354="Review",2,3))*100000000+IF(ISNUMBER(AF354),AF354,99999)*1000+ROW(),999999999999)</f>
        <v>999999999999</v>
      </c>
      <c r="AL354">
        <f t="shared" si="38"/>
        <v>999999999999</v>
      </c>
      <c r="AM354">
        <f t="shared" si="34"/>
        <v>999999999999</v>
      </c>
      <c r="AN354">
        <f t="shared" si="41"/>
        <v>999999999999</v>
      </c>
      <c r="AO354">
        <f t="shared" si="39"/>
        <v>999999999999</v>
      </c>
      <c r="AP354">
        <f t="shared" si="37"/>
        <v>999999999999</v>
      </c>
      <c r="AQ354">
        <f t="shared" si="36"/>
        <v>999999999999</v>
      </c>
      <c r="AR354">
        <f t="shared" si="40"/>
        <v>0</v>
      </c>
    </row>
    <row r="355" spans="25:44">
      <c r="Y355" t="str">
        <f>IF('10 - RECOVERY'!A27&lt;&gt;"",IF('10 - RECOVERY'!F27="","",'10 - RECOVERY'!F27),"")</f>
        <v/>
      </c>
      <c r="Z355" t="str">
        <f>IF('10 - RECOVERY'!A27&lt;&gt;"","Recovery","")</f>
        <v/>
      </c>
      <c r="AA355" t="str">
        <f>IF('10 - RECOVERY'!A27&lt;&gt;"",IF('10 - RECOVERY'!A27="","",'10 - RECOVERY'!A27),"")</f>
        <v/>
      </c>
      <c r="AB355" t="str">
        <f>IF('10 - RECOVERY'!A27&lt;&gt;"",IF('10 - RECOVERY'!B27="","",'10 - RECOVERY'!B27),"")</f>
        <v/>
      </c>
      <c r="AC355" t="str">
        <f>IF('10 - RECOVERY'!A27&lt;&gt;"",IF('10 - RECOVERY'!G27="","",'10 - RECOVERY'!G27),"")</f>
        <v/>
      </c>
      <c r="AD355" t="str">
        <f>IF('10 - RECOVERY'!A27&lt;&gt;"",IF('10 - RECOVERY'!H27="","",'10 - RECOVERY'!H27),"")</f>
        <v/>
      </c>
      <c r="AE355" t="str">
        <f>IF('10 - RECOVERY'!A27&lt;&gt;"",IF('10 - RECOVERY'!D27="","",'10 - RECOVERY'!D27),"")</f>
        <v/>
      </c>
      <c r="AF355" s="17" t="str">
        <f>IF('10 - RECOVERY'!A27&lt;&gt;"",IF('10 - RECOVERY'!E27="","",'10 - RECOVERY'!E27),"")</f>
        <v/>
      </c>
      <c r="AG355" t="str">
        <f>IF('10 - RECOVERY'!A27&lt;&gt;"",IF('10 - RECOVERY'!I27="","",'10 - RECOVERY'!I27),"")</f>
        <v/>
      </c>
      <c r="AH355" t="str">
        <f>IF('10 - RECOVERY'!A27&lt;&gt;"",IF('10 - RECOVERY'!J27="","",'10 - RECOVERY'!J27),"")</f>
        <v/>
      </c>
      <c r="AI355" t="str">
        <f>IF('10 - RECOVERY'!A27&lt;&gt;"",IF('10 - RECOVERY'!AL27="","",'10 - RECOVERY'!AL27),"")</f>
        <v/>
      </c>
      <c r="AJ355" t="str">
        <f>IF('10 - RECOVERY'!A27&lt;&gt;"","10 - RECOVERY row 27","")</f>
        <v/>
      </c>
      <c r="AK355">
        <f>IF(AND('10 - RECOVERY'!A27&lt;&gt;"",OR('10 - RECOVERY'!AL27&lt;&gt;"Closed",'10 - RECOVERY'!G27&lt;&gt;""),OR(AC355&lt;&gt;"",AD355&lt;&gt;"")),IF(Y355="Critical",1,IF(Y355="Review",2,3))*100000000+IF(ISNUMBER(AF355),AF355,99999)*1000+ROW(),999999999999)</f>
        <v>999999999999</v>
      </c>
      <c r="AL355">
        <f t="shared" si="38"/>
        <v>999999999999</v>
      </c>
      <c r="AM355">
        <f t="shared" si="34"/>
        <v>999999999999</v>
      </c>
      <c r="AN355">
        <f t="shared" si="41"/>
        <v>999999999999</v>
      </c>
      <c r="AO355">
        <f t="shared" si="39"/>
        <v>999999999999</v>
      </c>
      <c r="AP355">
        <f t="shared" si="37"/>
        <v>999999999999</v>
      </c>
      <c r="AQ355">
        <f t="shared" si="36"/>
        <v>999999999999</v>
      </c>
      <c r="AR355">
        <f t="shared" si="40"/>
        <v>0</v>
      </c>
    </row>
    <row r="356" spans="25:44">
      <c r="Y356" t="str">
        <f>IF('10 - RECOVERY'!A28&lt;&gt;"",IF('10 - RECOVERY'!F28="","",'10 - RECOVERY'!F28),"")</f>
        <v/>
      </c>
      <c r="Z356" t="str">
        <f>IF('10 - RECOVERY'!A28&lt;&gt;"","Recovery","")</f>
        <v/>
      </c>
      <c r="AA356" t="str">
        <f>IF('10 - RECOVERY'!A28&lt;&gt;"",IF('10 - RECOVERY'!A28="","",'10 - RECOVERY'!A28),"")</f>
        <v/>
      </c>
      <c r="AB356" t="str">
        <f>IF('10 - RECOVERY'!A28&lt;&gt;"",IF('10 - RECOVERY'!B28="","",'10 - RECOVERY'!B28),"")</f>
        <v/>
      </c>
      <c r="AC356" t="str">
        <f>IF('10 - RECOVERY'!A28&lt;&gt;"",IF('10 - RECOVERY'!G28="","",'10 - RECOVERY'!G28),"")</f>
        <v/>
      </c>
      <c r="AD356" t="str">
        <f>IF('10 - RECOVERY'!A28&lt;&gt;"",IF('10 - RECOVERY'!H28="","",'10 - RECOVERY'!H28),"")</f>
        <v/>
      </c>
      <c r="AE356" t="str">
        <f>IF('10 - RECOVERY'!A28&lt;&gt;"",IF('10 - RECOVERY'!D28="","",'10 - RECOVERY'!D28),"")</f>
        <v/>
      </c>
      <c r="AF356" s="17" t="str">
        <f>IF('10 - RECOVERY'!A28&lt;&gt;"",IF('10 - RECOVERY'!E28="","",'10 - RECOVERY'!E28),"")</f>
        <v/>
      </c>
      <c r="AG356" t="str">
        <f>IF('10 - RECOVERY'!A28&lt;&gt;"",IF('10 - RECOVERY'!I28="","",'10 - RECOVERY'!I28),"")</f>
        <v/>
      </c>
      <c r="AH356" t="str">
        <f>IF('10 - RECOVERY'!A28&lt;&gt;"",IF('10 - RECOVERY'!J28="","",'10 - RECOVERY'!J28),"")</f>
        <v/>
      </c>
      <c r="AI356" t="str">
        <f>IF('10 - RECOVERY'!A28&lt;&gt;"",IF('10 - RECOVERY'!AL28="","",'10 - RECOVERY'!AL28),"")</f>
        <v/>
      </c>
      <c r="AJ356" t="str">
        <f>IF('10 - RECOVERY'!A28&lt;&gt;"","10 - RECOVERY row 28","")</f>
        <v/>
      </c>
      <c r="AK356">
        <f>IF(AND('10 - RECOVERY'!A28&lt;&gt;"",OR('10 - RECOVERY'!AL28&lt;&gt;"Closed",'10 - RECOVERY'!G28&lt;&gt;""),OR(AC356&lt;&gt;"",AD356&lt;&gt;"")),IF(Y356="Critical",1,IF(Y356="Review",2,3))*100000000+IF(ISNUMBER(AF356),AF356,99999)*1000+ROW(),999999999999)</f>
        <v>999999999999</v>
      </c>
      <c r="AL356">
        <f t="shared" si="38"/>
        <v>999999999999</v>
      </c>
      <c r="AM356">
        <f t="shared" si="34"/>
        <v>999999999999</v>
      </c>
      <c r="AN356">
        <f t="shared" si="41"/>
        <v>999999999999</v>
      </c>
      <c r="AO356">
        <f t="shared" si="39"/>
        <v>999999999999</v>
      </c>
      <c r="AP356">
        <f t="shared" si="37"/>
        <v>999999999999</v>
      </c>
      <c r="AQ356">
        <f t="shared" si="36"/>
        <v>999999999999</v>
      </c>
      <c r="AR356">
        <f t="shared" si="40"/>
        <v>0</v>
      </c>
    </row>
    <row r="357" spans="25:44">
      <c r="Y357" t="str">
        <f>IF('10 - RECOVERY'!A29&lt;&gt;"",IF('10 - RECOVERY'!F29="","",'10 - RECOVERY'!F29),"")</f>
        <v/>
      </c>
      <c r="Z357" t="str">
        <f>IF('10 - RECOVERY'!A29&lt;&gt;"","Recovery","")</f>
        <v/>
      </c>
      <c r="AA357" t="str">
        <f>IF('10 - RECOVERY'!A29&lt;&gt;"",IF('10 - RECOVERY'!A29="","",'10 - RECOVERY'!A29),"")</f>
        <v/>
      </c>
      <c r="AB357" t="str">
        <f>IF('10 - RECOVERY'!A29&lt;&gt;"",IF('10 - RECOVERY'!B29="","",'10 - RECOVERY'!B29),"")</f>
        <v/>
      </c>
      <c r="AC357" t="str">
        <f>IF('10 - RECOVERY'!A29&lt;&gt;"",IF('10 - RECOVERY'!G29="","",'10 - RECOVERY'!G29),"")</f>
        <v/>
      </c>
      <c r="AD357" t="str">
        <f>IF('10 - RECOVERY'!A29&lt;&gt;"",IF('10 - RECOVERY'!H29="","",'10 - RECOVERY'!H29),"")</f>
        <v/>
      </c>
      <c r="AE357" t="str">
        <f>IF('10 - RECOVERY'!A29&lt;&gt;"",IF('10 - RECOVERY'!D29="","",'10 - RECOVERY'!D29),"")</f>
        <v/>
      </c>
      <c r="AF357" s="17" t="str">
        <f>IF('10 - RECOVERY'!A29&lt;&gt;"",IF('10 - RECOVERY'!E29="","",'10 - RECOVERY'!E29),"")</f>
        <v/>
      </c>
      <c r="AG357" t="str">
        <f>IF('10 - RECOVERY'!A29&lt;&gt;"",IF('10 - RECOVERY'!I29="","",'10 - RECOVERY'!I29),"")</f>
        <v/>
      </c>
      <c r="AH357" t="str">
        <f>IF('10 - RECOVERY'!A29&lt;&gt;"",IF('10 - RECOVERY'!J29="","",'10 - RECOVERY'!J29),"")</f>
        <v/>
      </c>
      <c r="AI357" t="str">
        <f>IF('10 - RECOVERY'!A29&lt;&gt;"",IF('10 - RECOVERY'!AL29="","",'10 - RECOVERY'!AL29),"")</f>
        <v/>
      </c>
      <c r="AJ357" t="str">
        <f>IF('10 - RECOVERY'!A29&lt;&gt;"","10 - RECOVERY row 29","")</f>
        <v/>
      </c>
      <c r="AK357">
        <f>IF(AND('10 - RECOVERY'!A29&lt;&gt;"",OR('10 - RECOVERY'!AL29&lt;&gt;"Closed",'10 - RECOVERY'!G29&lt;&gt;""),OR(AC357&lt;&gt;"",AD357&lt;&gt;"")),IF(Y357="Critical",1,IF(Y357="Review",2,3))*100000000+IF(ISNUMBER(AF357),AF357,99999)*1000+ROW(),999999999999)</f>
        <v>999999999999</v>
      </c>
      <c r="AL357">
        <f t="shared" si="38"/>
        <v>999999999999</v>
      </c>
      <c r="AM357">
        <f t="shared" ref="AM357:AM420" si="42">IF(AND(ISNUMBER(AK357),OR(Z357="Assurance",AND(Z357="Adoption",AC357&lt;&gt;""),FALSE)),AK357,999999999999)</f>
        <v>999999999999</v>
      </c>
      <c r="AN357">
        <f t="shared" si="41"/>
        <v>999999999999</v>
      </c>
      <c r="AO357">
        <f t="shared" si="39"/>
        <v>999999999999</v>
      </c>
      <c r="AP357">
        <f t="shared" si="37"/>
        <v>999999999999</v>
      </c>
      <c r="AQ357">
        <f t="shared" si="36"/>
        <v>999999999999</v>
      </c>
      <c r="AR357">
        <f t="shared" si="40"/>
        <v>0</v>
      </c>
    </row>
    <row r="358" spans="25:44">
      <c r="Y358" t="str">
        <f>IF('10 - RECOVERY'!A30&lt;&gt;"",IF('10 - RECOVERY'!F30="","",'10 - RECOVERY'!F30),"")</f>
        <v/>
      </c>
      <c r="Z358" t="str">
        <f>IF('10 - RECOVERY'!A30&lt;&gt;"","Recovery","")</f>
        <v/>
      </c>
      <c r="AA358" t="str">
        <f>IF('10 - RECOVERY'!A30&lt;&gt;"",IF('10 - RECOVERY'!A30="","",'10 - RECOVERY'!A30),"")</f>
        <v/>
      </c>
      <c r="AB358" t="str">
        <f>IF('10 - RECOVERY'!A30&lt;&gt;"",IF('10 - RECOVERY'!B30="","",'10 - RECOVERY'!B30),"")</f>
        <v/>
      </c>
      <c r="AC358" t="str">
        <f>IF('10 - RECOVERY'!A30&lt;&gt;"",IF('10 - RECOVERY'!G30="","",'10 - RECOVERY'!G30),"")</f>
        <v/>
      </c>
      <c r="AD358" t="str">
        <f>IF('10 - RECOVERY'!A30&lt;&gt;"",IF('10 - RECOVERY'!H30="","",'10 - RECOVERY'!H30),"")</f>
        <v/>
      </c>
      <c r="AE358" t="str">
        <f>IF('10 - RECOVERY'!A30&lt;&gt;"",IF('10 - RECOVERY'!D30="","",'10 - RECOVERY'!D30),"")</f>
        <v/>
      </c>
      <c r="AF358" s="17" t="str">
        <f>IF('10 - RECOVERY'!A30&lt;&gt;"",IF('10 - RECOVERY'!E30="","",'10 - RECOVERY'!E30),"")</f>
        <v/>
      </c>
      <c r="AG358" t="str">
        <f>IF('10 - RECOVERY'!A30&lt;&gt;"",IF('10 - RECOVERY'!I30="","",'10 - RECOVERY'!I30),"")</f>
        <v/>
      </c>
      <c r="AH358" t="str">
        <f>IF('10 - RECOVERY'!A30&lt;&gt;"",IF('10 - RECOVERY'!J30="","",'10 - RECOVERY'!J30),"")</f>
        <v/>
      </c>
      <c r="AI358" t="str">
        <f>IF('10 - RECOVERY'!A30&lt;&gt;"",IF('10 - RECOVERY'!AL30="","",'10 - RECOVERY'!AL30),"")</f>
        <v/>
      </c>
      <c r="AJ358" t="str">
        <f>IF('10 - RECOVERY'!A30&lt;&gt;"","10 - RECOVERY row 30","")</f>
        <v/>
      </c>
      <c r="AK358">
        <f>IF(AND('10 - RECOVERY'!A30&lt;&gt;"",OR('10 - RECOVERY'!AL30&lt;&gt;"Closed",'10 - RECOVERY'!G30&lt;&gt;""),OR(AC358&lt;&gt;"",AD358&lt;&gt;"")),IF(Y358="Critical",1,IF(Y358="Review",2,3))*100000000+IF(ISNUMBER(AF358),AF358,99999)*1000+ROW(),999999999999)</f>
        <v>999999999999</v>
      </c>
      <c r="AL358">
        <f t="shared" si="38"/>
        <v>999999999999</v>
      </c>
      <c r="AM358">
        <f t="shared" si="42"/>
        <v>999999999999</v>
      </c>
      <c r="AN358">
        <f t="shared" si="41"/>
        <v>999999999999</v>
      </c>
      <c r="AO358">
        <f t="shared" si="39"/>
        <v>999999999999</v>
      </c>
      <c r="AP358">
        <f t="shared" si="37"/>
        <v>999999999999</v>
      </c>
      <c r="AQ358">
        <f t="shared" si="36"/>
        <v>999999999999</v>
      </c>
      <c r="AR358">
        <f t="shared" si="40"/>
        <v>0</v>
      </c>
    </row>
    <row r="359" spans="25:44">
      <c r="Y359" t="str">
        <f>IF('10 - RECOVERY'!A31&lt;&gt;"",IF('10 - RECOVERY'!F31="","",'10 - RECOVERY'!F31),"")</f>
        <v/>
      </c>
      <c r="Z359" t="str">
        <f>IF('10 - RECOVERY'!A31&lt;&gt;"","Recovery","")</f>
        <v/>
      </c>
      <c r="AA359" t="str">
        <f>IF('10 - RECOVERY'!A31&lt;&gt;"",IF('10 - RECOVERY'!A31="","",'10 - RECOVERY'!A31),"")</f>
        <v/>
      </c>
      <c r="AB359" t="str">
        <f>IF('10 - RECOVERY'!A31&lt;&gt;"",IF('10 - RECOVERY'!B31="","",'10 - RECOVERY'!B31),"")</f>
        <v/>
      </c>
      <c r="AC359" t="str">
        <f>IF('10 - RECOVERY'!A31&lt;&gt;"",IF('10 - RECOVERY'!G31="","",'10 - RECOVERY'!G31),"")</f>
        <v/>
      </c>
      <c r="AD359" t="str">
        <f>IF('10 - RECOVERY'!A31&lt;&gt;"",IF('10 - RECOVERY'!H31="","",'10 - RECOVERY'!H31),"")</f>
        <v/>
      </c>
      <c r="AE359" t="str">
        <f>IF('10 - RECOVERY'!A31&lt;&gt;"",IF('10 - RECOVERY'!D31="","",'10 - RECOVERY'!D31),"")</f>
        <v/>
      </c>
      <c r="AF359" s="17" t="str">
        <f>IF('10 - RECOVERY'!A31&lt;&gt;"",IF('10 - RECOVERY'!E31="","",'10 - RECOVERY'!E31),"")</f>
        <v/>
      </c>
      <c r="AG359" t="str">
        <f>IF('10 - RECOVERY'!A31&lt;&gt;"",IF('10 - RECOVERY'!I31="","",'10 - RECOVERY'!I31),"")</f>
        <v/>
      </c>
      <c r="AH359" t="str">
        <f>IF('10 - RECOVERY'!A31&lt;&gt;"",IF('10 - RECOVERY'!J31="","",'10 - RECOVERY'!J31),"")</f>
        <v/>
      </c>
      <c r="AI359" t="str">
        <f>IF('10 - RECOVERY'!A31&lt;&gt;"",IF('10 - RECOVERY'!AL31="","",'10 - RECOVERY'!AL31),"")</f>
        <v/>
      </c>
      <c r="AJ359" t="str">
        <f>IF('10 - RECOVERY'!A31&lt;&gt;"","10 - RECOVERY row 31","")</f>
        <v/>
      </c>
      <c r="AK359">
        <f>IF(AND('10 - RECOVERY'!A31&lt;&gt;"",OR('10 - RECOVERY'!AL31&lt;&gt;"Closed",'10 - RECOVERY'!G31&lt;&gt;""),OR(AC359&lt;&gt;"",AD359&lt;&gt;"")),IF(Y359="Critical",1,IF(Y359="Review",2,3))*100000000+IF(ISNUMBER(AF359),AF359,99999)*1000+ROW(),999999999999)</f>
        <v>999999999999</v>
      </c>
      <c r="AL359">
        <f t="shared" si="38"/>
        <v>999999999999</v>
      </c>
      <c r="AM359">
        <f t="shared" si="42"/>
        <v>999999999999</v>
      </c>
      <c r="AN359">
        <f t="shared" si="41"/>
        <v>999999999999</v>
      </c>
      <c r="AO359">
        <f t="shared" si="39"/>
        <v>999999999999</v>
      </c>
      <c r="AP359">
        <f t="shared" si="37"/>
        <v>999999999999</v>
      </c>
      <c r="AQ359">
        <f t="shared" si="36"/>
        <v>999999999999</v>
      </c>
      <c r="AR359">
        <f t="shared" si="40"/>
        <v>0</v>
      </c>
    </row>
    <row r="360" spans="25:44">
      <c r="Y360" t="str">
        <f>IF('10 - RECOVERY'!A32&lt;&gt;"",IF('10 - RECOVERY'!F32="","",'10 - RECOVERY'!F32),"")</f>
        <v/>
      </c>
      <c r="Z360" t="str">
        <f>IF('10 - RECOVERY'!A32&lt;&gt;"","Recovery","")</f>
        <v/>
      </c>
      <c r="AA360" t="str">
        <f>IF('10 - RECOVERY'!A32&lt;&gt;"",IF('10 - RECOVERY'!A32="","",'10 - RECOVERY'!A32),"")</f>
        <v/>
      </c>
      <c r="AB360" t="str">
        <f>IF('10 - RECOVERY'!A32&lt;&gt;"",IF('10 - RECOVERY'!B32="","",'10 - RECOVERY'!B32),"")</f>
        <v/>
      </c>
      <c r="AC360" t="str">
        <f>IF('10 - RECOVERY'!A32&lt;&gt;"",IF('10 - RECOVERY'!G32="","",'10 - RECOVERY'!G32),"")</f>
        <v/>
      </c>
      <c r="AD360" t="str">
        <f>IF('10 - RECOVERY'!A32&lt;&gt;"",IF('10 - RECOVERY'!H32="","",'10 - RECOVERY'!H32),"")</f>
        <v/>
      </c>
      <c r="AE360" t="str">
        <f>IF('10 - RECOVERY'!A32&lt;&gt;"",IF('10 - RECOVERY'!D32="","",'10 - RECOVERY'!D32),"")</f>
        <v/>
      </c>
      <c r="AF360" s="17" t="str">
        <f>IF('10 - RECOVERY'!A32&lt;&gt;"",IF('10 - RECOVERY'!E32="","",'10 - RECOVERY'!E32),"")</f>
        <v/>
      </c>
      <c r="AG360" t="str">
        <f>IF('10 - RECOVERY'!A32&lt;&gt;"",IF('10 - RECOVERY'!I32="","",'10 - RECOVERY'!I32),"")</f>
        <v/>
      </c>
      <c r="AH360" t="str">
        <f>IF('10 - RECOVERY'!A32&lt;&gt;"",IF('10 - RECOVERY'!J32="","",'10 - RECOVERY'!J32),"")</f>
        <v/>
      </c>
      <c r="AI360" t="str">
        <f>IF('10 - RECOVERY'!A32&lt;&gt;"",IF('10 - RECOVERY'!AL32="","",'10 - RECOVERY'!AL32),"")</f>
        <v/>
      </c>
      <c r="AJ360" t="str">
        <f>IF('10 - RECOVERY'!A32&lt;&gt;"","10 - RECOVERY row 32","")</f>
        <v/>
      </c>
      <c r="AK360">
        <f>IF(AND('10 - RECOVERY'!A32&lt;&gt;"",OR('10 - RECOVERY'!AL32&lt;&gt;"Closed",'10 - RECOVERY'!G32&lt;&gt;""),OR(AC360&lt;&gt;"",AD360&lt;&gt;"")),IF(Y360="Critical",1,IF(Y360="Review",2,3))*100000000+IF(ISNUMBER(AF360),AF360,99999)*1000+ROW(),999999999999)</f>
        <v>999999999999</v>
      </c>
      <c r="AL360">
        <f t="shared" si="38"/>
        <v>999999999999</v>
      </c>
      <c r="AM360">
        <f t="shared" si="42"/>
        <v>999999999999</v>
      </c>
      <c r="AN360">
        <f t="shared" si="41"/>
        <v>999999999999</v>
      </c>
      <c r="AO360">
        <f t="shared" si="39"/>
        <v>999999999999</v>
      </c>
      <c r="AP360">
        <f t="shared" si="37"/>
        <v>999999999999</v>
      </c>
      <c r="AQ360">
        <f t="shared" si="36"/>
        <v>999999999999</v>
      </c>
      <c r="AR360">
        <f t="shared" si="40"/>
        <v>0</v>
      </c>
    </row>
    <row r="361" spans="25:44">
      <c r="Y361" t="str">
        <f>IF('10 - RECOVERY'!A33&lt;&gt;"",IF('10 - RECOVERY'!F33="","",'10 - RECOVERY'!F33),"")</f>
        <v/>
      </c>
      <c r="Z361" t="str">
        <f>IF('10 - RECOVERY'!A33&lt;&gt;"","Recovery","")</f>
        <v/>
      </c>
      <c r="AA361" t="str">
        <f>IF('10 - RECOVERY'!A33&lt;&gt;"",IF('10 - RECOVERY'!A33="","",'10 - RECOVERY'!A33),"")</f>
        <v/>
      </c>
      <c r="AB361" t="str">
        <f>IF('10 - RECOVERY'!A33&lt;&gt;"",IF('10 - RECOVERY'!B33="","",'10 - RECOVERY'!B33),"")</f>
        <v/>
      </c>
      <c r="AC361" t="str">
        <f>IF('10 - RECOVERY'!A33&lt;&gt;"",IF('10 - RECOVERY'!G33="","",'10 - RECOVERY'!G33),"")</f>
        <v/>
      </c>
      <c r="AD361" t="str">
        <f>IF('10 - RECOVERY'!A33&lt;&gt;"",IF('10 - RECOVERY'!H33="","",'10 - RECOVERY'!H33),"")</f>
        <v/>
      </c>
      <c r="AE361" t="str">
        <f>IF('10 - RECOVERY'!A33&lt;&gt;"",IF('10 - RECOVERY'!D33="","",'10 - RECOVERY'!D33),"")</f>
        <v/>
      </c>
      <c r="AF361" s="17" t="str">
        <f>IF('10 - RECOVERY'!A33&lt;&gt;"",IF('10 - RECOVERY'!E33="","",'10 - RECOVERY'!E33),"")</f>
        <v/>
      </c>
      <c r="AG361" t="str">
        <f>IF('10 - RECOVERY'!A33&lt;&gt;"",IF('10 - RECOVERY'!I33="","",'10 - RECOVERY'!I33),"")</f>
        <v/>
      </c>
      <c r="AH361" t="str">
        <f>IF('10 - RECOVERY'!A33&lt;&gt;"",IF('10 - RECOVERY'!J33="","",'10 - RECOVERY'!J33),"")</f>
        <v/>
      </c>
      <c r="AI361" t="str">
        <f>IF('10 - RECOVERY'!A33&lt;&gt;"",IF('10 - RECOVERY'!AL33="","",'10 - RECOVERY'!AL33),"")</f>
        <v/>
      </c>
      <c r="AJ361" t="str">
        <f>IF('10 - RECOVERY'!A33&lt;&gt;"","10 - RECOVERY row 33","")</f>
        <v/>
      </c>
      <c r="AK361">
        <f>IF(AND('10 - RECOVERY'!A33&lt;&gt;"",OR('10 - RECOVERY'!AL33&lt;&gt;"Closed",'10 - RECOVERY'!G33&lt;&gt;""),OR(AC361&lt;&gt;"",AD361&lt;&gt;"")),IF(Y361="Critical",1,IF(Y361="Review",2,3))*100000000+IF(ISNUMBER(AF361),AF361,99999)*1000+ROW(),999999999999)</f>
        <v>999999999999</v>
      </c>
      <c r="AL361">
        <f t="shared" si="38"/>
        <v>999999999999</v>
      </c>
      <c r="AM361">
        <f t="shared" si="42"/>
        <v>999999999999</v>
      </c>
      <c r="AN361">
        <f t="shared" si="41"/>
        <v>999999999999</v>
      </c>
      <c r="AO361">
        <f t="shared" si="39"/>
        <v>999999999999</v>
      </c>
      <c r="AP361">
        <f t="shared" si="37"/>
        <v>999999999999</v>
      </c>
      <c r="AQ361">
        <f t="shared" si="36"/>
        <v>999999999999</v>
      </c>
      <c r="AR361">
        <f t="shared" si="40"/>
        <v>0</v>
      </c>
    </row>
    <row r="362" spans="25:44">
      <c r="Y362" t="str">
        <f>IF('10 - RECOVERY'!A34&lt;&gt;"",IF('10 - RECOVERY'!F34="","",'10 - RECOVERY'!F34),"")</f>
        <v/>
      </c>
      <c r="Z362" t="str">
        <f>IF('10 - RECOVERY'!A34&lt;&gt;"","Recovery","")</f>
        <v/>
      </c>
      <c r="AA362" t="str">
        <f>IF('10 - RECOVERY'!A34&lt;&gt;"",IF('10 - RECOVERY'!A34="","",'10 - RECOVERY'!A34),"")</f>
        <v/>
      </c>
      <c r="AB362" t="str">
        <f>IF('10 - RECOVERY'!A34&lt;&gt;"",IF('10 - RECOVERY'!B34="","",'10 - RECOVERY'!B34),"")</f>
        <v/>
      </c>
      <c r="AC362" t="str">
        <f>IF('10 - RECOVERY'!A34&lt;&gt;"",IF('10 - RECOVERY'!G34="","",'10 - RECOVERY'!G34),"")</f>
        <v/>
      </c>
      <c r="AD362" t="str">
        <f>IF('10 - RECOVERY'!A34&lt;&gt;"",IF('10 - RECOVERY'!H34="","",'10 - RECOVERY'!H34),"")</f>
        <v/>
      </c>
      <c r="AE362" t="str">
        <f>IF('10 - RECOVERY'!A34&lt;&gt;"",IF('10 - RECOVERY'!D34="","",'10 - RECOVERY'!D34),"")</f>
        <v/>
      </c>
      <c r="AF362" s="17" t="str">
        <f>IF('10 - RECOVERY'!A34&lt;&gt;"",IF('10 - RECOVERY'!E34="","",'10 - RECOVERY'!E34),"")</f>
        <v/>
      </c>
      <c r="AG362" t="str">
        <f>IF('10 - RECOVERY'!A34&lt;&gt;"",IF('10 - RECOVERY'!I34="","",'10 - RECOVERY'!I34),"")</f>
        <v/>
      </c>
      <c r="AH362" t="str">
        <f>IF('10 - RECOVERY'!A34&lt;&gt;"",IF('10 - RECOVERY'!J34="","",'10 - RECOVERY'!J34),"")</f>
        <v/>
      </c>
      <c r="AI362" t="str">
        <f>IF('10 - RECOVERY'!A34&lt;&gt;"",IF('10 - RECOVERY'!AL34="","",'10 - RECOVERY'!AL34),"")</f>
        <v/>
      </c>
      <c r="AJ362" t="str">
        <f>IF('10 - RECOVERY'!A34&lt;&gt;"","10 - RECOVERY row 34","")</f>
        <v/>
      </c>
      <c r="AK362">
        <f>IF(AND('10 - RECOVERY'!A34&lt;&gt;"",OR('10 - RECOVERY'!AL34&lt;&gt;"Closed",'10 - RECOVERY'!G34&lt;&gt;""),OR(AC362&lt;&gt;"",AD362&lt;&gt;"")),IF(Y362="Critical",1,IF(Y362="Review",2,3))*100000000+IF(ISNUMBER(AF362),AF362,99999)*1000+ROW(),999999999999)</f>
        <v>999999999999</v>
      </c>
      <c r="AL362">
        <f t="shared" si="38"/>
        <v>999999999999</v>
      </c>
      <c r="AM362">
        <f t="shared" si="42"/>
        <v>999999999999</v>
      </c>
      <c r="AN362">
        <f t="shared" si="41"/>
        <v>999999999999</v>
      </c>
      <c r="AO362">
        <f t="shared" si="39"/>
        <v>999999999999</v>
      </c>
      <c r="AP362">
        <f t="shared" si="37"/>
        <v>999999999999</v>
      </c>
      <c r="AQ362">
        <f t="shared" si="36"/>
        <v>999999999999</v>
      </c>
      <c r="AR362">
        <f t="shared" si="40"/>
        <v>0</v>
      </c>
    </row>
    <row r="363" spans="25:44">
      <c r="Y363" t="str">
        <f>IF('10 - RECOVERY'!A35&lt;&gt;"",IF('10 - RECOVERY'!F35="","",'10 - RECOVERY'!F35),"")</f>
        <v/>
      </c>
      <c r="Z363" t="str">
        <f>IF('10 - RECOVERY'!A35&lt;&gt;"","Recovery","")</f>
        <v/>
      </c>
      <c r="AA363" t="str">
        <f>IF('10 - RECOVERY'!A35&lt;&gt;"",IF('10 - RECOVERY'!A35="","",'10 - RECOVERY'!A35),"")</f>
        <v/>
      </c>
      <c r="AB363" t="str">
        <f>IF('10 - RECOVERY'!A35&lt;&gt;"",IF('10 - RECOVERY'!B35="","",'10 - RECOVERY'!B35),"")</f>
        <v/>
      </c>
      <c r="AC363" t="str">
        <f>IF('10 - RECOVERY'!A35&lt;&gt;"",IF('10 - RECOVERY'!G35="","",'10 - RECOVERY'!G35),"")</f>
        <v/>
      </c>
      <c r="AD363" t="str">
        <f>IF('10 - RECOVERY'!A35&lt;&gt;"",IF('10 - RECOVERY'!H35="","",'10 - RECOVERY'!H35),"")</f>
        <v/>
      </c>
      <c r="AE363" t="str">
        <f>IF('10 - RECOVERY'!A35&lt;&gt;"",IF('10 - RECOVERY'!D35="","",'10 - RECOVERY'!D35),"")</f>
        <v/>
      </c>
      <c r="AF363" s="17" t="str">
        <f>IF('10 - RECOVERY'!A35&lt;&gt;"",IF('10 - RECOVERY'!E35="","",'10 - RECOVERY'!E35),"")</f>
        <v/>
      </c>
      <c r="AG363" t="str">
        <f>IF('10 - RECOVERY'!A35&lt;&gt;"",IF('10 - RECOVERY'!I35="","",'10 - RECOVERY'!I35),"")</f>
        <v/>
      </c>
      <c r="AH363" t="str">
        <f>IF('10 - RECOVERY'!A35&lt;&gt;"",IF('10 - RECOVERY'!J35="","",'10 - RECOVERY'!J35),"")</f>
        <v/>
      </c>
      <c r="AI363" t="str">
        <f>IF('10 - RECOVERY'!A35&lt;&gt;"",IF('10 - RECOVERY'!AL35="","",'10 - RECOVERY'!AL35),"")</f>
        <v/>
      </c>
      <c r="AJ363" t="str">
        <f>IF('10 - RECOVERY'!A35&lt;&gt;"","10 - RECOVERY row 35","")</f>
        <v/>
      </c>
      <c r="AK363">
        <f>IF(AND('10 - RECOVERY'!A35&lt;&gt;"",OR('10 - RECOVERY'!AL35&lt;&gt;"Closed",'10 - RECOVERY'!G35&lt;&gt;""),OR(AC363&lt;&gt;"",AD363&lt;&gt;"")),IF(Y363="Critical",1,IF(Y363="Review",2,3))*100000000+IF(ISNUMBER(AF363),AF363,99999)*1000+ROW(),999999999999)</f>
        <v>999999999999</v>
      </c>
      <c r="AL363">
        <f t="shared" si="38"/>
        <v>999999999999</v>
      </c>
      <c r="AM363">
        <f t="shared" si="42"/>
        <v>999999999999</v>
      </c>
      <c r="AN363">
        <f t="shared" si="41"/>
        <v>999999999999</v>
      </c>
      <c r="AO363">
        <f t="shared" si="39"/>
        <v>999999999999</v>
      </c>
      <c r="AP363">
        <f t="shared" si="37"/>
        <v>999999999999</v>
      </c>
      <c r="AQ363">
        <f t="shared" si="36"/>
        <v>999999999999</v>
      </c>
      <c r="AR363">
        <f t="shared" si="40"/>
        <v>0</v>
      </c>
    </row>
    <row r="364" spans="25:44">
      <c r="Y364" t="str">
        <f>IF('10 - RECOVERY'!A36&lt;&gt;"",IF('10 - RECOVERY'!F36="","",'10 - RECOVERY'!F36),"")</f>
        <v/>
      </c>
      <c r="Z364" t="str">
        <f>IF('10 - RECOVERY'!A36&lt;&gt;"","Recovery","")</f>
        <v/>
      </c>
      <c r="AA364" t="str">
        <f>IF('10 - RECOVERY'!A36&lt;&gt;"",IF('10 - RECOVERY'!A36="","",'10 - RECOVERY'!A36),"")</f>
        <v/>
      </c>
      <c r="AB364" t="str">
        <f>IF('10 - RECOVERY'!A36&lt;&gt;"",IF('10 - RECOVERY'!B36="","",'10 - RECOVERY'!B36),"")</f>
        <v/>
      </c>
      <c r="AC364" t="str">
        <f>IF('10 - RECOVERY'!A36&lt;&gt;"",IF('10 - RECOVERY'!G36="","",'10 - RECOVERY'!G36),"")</f>
        <v/>
      </c>
      <c r="AD364" t="str">
        <f>IF('10 - RECOVERY'!A36&lt;&gt;"",IF('10 - RECOVERY'!H36="","",'10 - RECOVERY'!H36),"")</f>
        <v/>
      </c>
      <c r="AE364" t="str">
        <f>IF('10 - RECOVERY'!A36&lt;&gt;"",IF('10 - RECOVERY'!D36="","",'10 - RECOVERY'!D36),"")</f>
        <v/>
      </c>
      <c r="AF364" s="17" t="str">
        <f>IF('10 - RECOVERY'!A36&lt;&gt;"",IF('10 - RECOVERY'!E36="","",'10 - RECOVERY'!E36),"")</f>
        <v/>
      </c>
      <c r="AG364" t="str">
        <f>IF('10 - RECOVERY'!A36&lt;&gt;"",IF('10 - RECOVERY'!I36="","",'10 - RECOVERY'!I36),"")</f>
        <v/>
      </c>
      <c r="AH364" t="str">
        <f>IF('10 - RECOVERY'!A36&lt;&gt;"",IF('10 - RECOVERY'!J36="","",'10 - RECOVERY'!J36),"")</f>
        <v/>
      </c>
      <c r="AI364" t="str">
        <f>IF('10 - RECOVERY'!A36&lt;&gt;"",IF('10 - RECOVERY'!AL36="","",'10 - RECOVERY'!AL36),"")</f>
        <v/>
      </c>
      <c r="AJ364" t="str">
        <f>IF('10 - RECOVERY'!A36&lt;&gt;"","10 - RECOVERY row 36","")</f>
        <v/>
      </c>
      <c r="AK364">
        <f>IF(AND('10 - RECOVERY'!A36&lt;&gt;"",OR('10 - RECOVERY'!AL36&lt;&gt;"Closed",'10 - RECOVERY'!G36&lt;&gt;""),OR(AC364&lt;&gt;"",AD364&lt;&gt;"")),IF(Y364="Critical",1,IF(Y364="Review",2,3))*100000000+IF(ISNUMBER(AF364),AF364,99999)*1000+ROW(),999999999999)</f>
        <v>999999999999</v>
      </c>
      <c r="AL364">
        <f t="shared" si="38"/>
        <v>999999999999</v>
      </c>
      <c r="AM364">
        <f t="shared" si="42"/>
        <v>999999999999</v>
      </c>
      <c r="AN364">
        <f t="shared" si="41"/>
        <v>999999999999</v>
      </c>
      <c r="AO364">
        <f t="shared" si="39"/>
        <v>999999999999</v>
      </c>
      <c r="AP364">
        <f t="shared" si="37"/>
        <v>999999999999</v>
      </c>
      <c r="AQ364">
        <f t="shared" si="36"/>
        <v>999999999999</v>
      </c>
      <c r="AR364">
        <f t="shared" si="40"/>
        <v>0</v>
      </c>
    </row>
    <row r="365" spans="25:44">
      <c r="Y365" t="str">
        <f>IF('10 - RECOVERY'!A37&lt;&gt;"",IF('10 - RECOVERY'!F37="","",'10 - RECOVERY'!F37),"")</f>
        <v/>
      </c>
      <c r="Z365" t="str">
        <f>IF('10 - RECOVERY'!A37&lt;&gt;"","Recovery","")</f>
        <v/>
      </c>
      <c r="AA365" t="str">
        <f>IF('10 - RECOVERY'!A37&lt;&gt;"",IF('10 - RECOVERY'!A37="","",'10 - RECOVERY'!A37),"")</f>
        <v/>
      </c>
      <c r="AB365" t="str">
        <f>IF('10 - RECOVERY'!A37&lt;&gt;"",IF('10 - RECOVERY'!B37="","",'10 - RECOVERY'!B37),"")</f>
        <v/>
      </c>
      <c r="AC365" t="str">
        <f>IF('10 - RECOVERY'!A37&lt;&gt;"",IF('10 - RECOVERY'!G37="","",'10 - RECOVERY'!G37),"")</f>
        <v/>
      </c>
      <c r="AD365" t="str">
        <f>IF('10 - RECOVERY'!A37&lt;&gt;"",IF('10 - RECOVERY'!H37="","",'10 - RECOVERY'!H37),"")</f>
        <v/>
      </c>
      <c r="AE365" t="str">
        <f>IF('10 - RECOVERY'!A37&lt;&gt;"",IF('10 - RECOVERY'!D37="","",'10 - RECOVERY'!D37),"")</f>
        <v/>
      </c>
      <c r="AF365" s="17" t="str">
        <f>IF('10 - RECOVERY'!A37&lt;&gt;"",IF('10 - RECOVERY'!E37="","",'10 - RECOVERY'!E37),"")</f>
        <v/>
      </c>
      <c r="AG365" t="str">
        <f>IF('10 - RECOVERY'!A37&lt;&gt;"",IF('10 - RECOVERY'!I37="","",'10 - RECOVERY'!I37),"")</f>
        <v/>
      </c>
      <c r="AH365" t="str">
        <f>IF('10 - RECOVERY'!A37&lt;&gt;"",IF('10 - RECOVERY'!J37="","",'10 - RECOVERY'!J37),"")</f>
        <v/>
      </c>
      <c r="AI365" t="str">
        <f>IF('10 - RECOVERY'!A37&lt;&gt;"",IF('10 - RECOVERY'!AL37="","",'10 - RECOVERY'!AL37),"")</f>
        <v/>
      </c>
      <c r="AJ365" t="str">
        <f>IF('10 - RECOVERY'!A37&lt;&gt;"","10 - RECOVERY row 37","")</f>
        <v/>
      </c>
      <c r="AK365">
        <f>IF(AND('10 - RECOVERY'!A37&lt;&gt;"",OR('10 - RECOVERY'!AL37&lt;&gt;"Closed",'10 - RECOVERY'!G37&lt;&gt;""),OR(AC365&lt;&gt;"",AD365&lt;&gt;"")),IF(Y365="Critical",1,IF(Y365="Review",2,3))*100000000+IF(ISNUMBER(AF365),AF365,99999)*1000+ROW(),999999999999)</f>
        <v>999999999999</v>
      </c>
      <c r="AL365">
        <f t="shared" si="38"/>
        <v>999999999999</v>
      </c>
      <c r="AM365">
        <f t="shared" si="42"/>
        <v>999999999999</v>
      </c>
      <c r="AN365">
        <f t="shared" si="41"/>
        <v>999999999999</v>
      </c>
      <c r="AO365">
        <f t="shared" si="39"/>
        <v>999999999999</v>
      </c>
      <c r="AP365">
        <f t="shared" si="37"/>
        <v>999999999999</v>
      </c>
      <c r="AQ365">
        <f t="shared" si="36"/>
        <v>999999999999</v>
      </c>
      <c r="AR365">
        <f t="shared" si="40"/>
        <v>0</v>
      </c>
    </row>
    <row r="366" spans="25:44">
      <c r="Y366" t="str">
        <f>IF('10 - RECOVERY'!A38&lt;&gt;"",IF('10 - RECOVERY'!F38="","",'10 - RECOVERY'!F38),"")</f>
        <v/>
      </c>
      <c r="Z366" t="str">
        <f>IF('10 - RECOVERY'!A38&lt;&gt;"","Recovery","")</f>
        <v/>
      </c>
      <c r="AA366" t="str">
        <f>IF('10 - RECOVERY'!A38&lt;&gt;"",IF('10 - RECOVERY'!A38="","",'10 - RECOVERY'!A38),"")</f>
        <v/>
      </c>
      <c r="AB366" t="str">
        <f>IF('10 - RECOVERY'!A38&lt;&gt;"",IF('10 - RECOVERY'!B38="","",'10 - RECOVERY'!B38),"")</f>
        <v/>
      </c>
      <c r="AC366" t="str">
        <f>IF('10 - RECOVERY'!A38&lt;&gt;"",IF('10 - RECOVERY'!G38="","",'10 - RECOVERY'!G38),"")</f>
        <v/>
      </c>
      <c r="AD366" t="str">
        <f>IF('10 - RECOVERY'!A38&lt;&gt;"",IF('10 - RECOVERY'!H38="","",'10 - RECOVERY'!H38),"")</f>
        <v/>
      </c>
      <c r="AE366" t="str">
        <f>IF('10 - RECOVERY'!A38&lt;&gt;"",IF('10 - RECOVERY'!D38="","",'10 - RECOVERY'!D38),"")</f>
        <v/>
      </c>
      <c r="AF366" s="17" t="str">
        <f>IF('10 - RECOVERY'!A38&lt;&gt;"",IF('10 - RECOVERY'!E38="","",'10 - RECOVERY'!E38),"")</f>
        <v/>
      </c>
      <c r="AG366" t="str">
        <f>IF('10 - RECOVERY'!A38&lt;&gt;"",IF('10 - RECOVERY'!I38="","",'10 - RECOVERY'!I38),"")</f>
        <v/>
      </c>
      <c r="AH366" t="str">
        <f>IF('10 - RECOVERY'!A38&lt;&gt;"",IF('10 - RECOVERY'!J38="","",'10 - RECOVERY'!J38),"")</f>
        <v/>
      </c>
      <c r="AI366" t="str">
        <f>IF('10 - RECOVERY'!A38&lt;&gt;"",IF('10 - RECOVERY'!AL38="","",'10 - RECOVERY'!AL38),"")</f>
        <v/>
      </c>
      <c r="AJ366" t="str">
        <f>IF('10 - RECOVERY'!A38&lt;&gt;"","10 - RECOVERY row 38","")</f>
        <v/>
      </c>
      <c r="AK366">
        <f>IF(AND('10 - RECOVERY'!A38&lt;&gt;"",OR('10 - RECOVERY'!AL38&lt;&gt;"Closed",'10 - RECOVERY'!G38&lt;&gt;""),OR(AC366&lt;&gt;"",AD366&lt;&gt;"")),IF(Y366="Critical",1,IF(Y366="Review",2,3))*100000000+IF(ISNUMBER(AF366),AF366,99999)*1000+ROW(),999999999999)</f>
        <v>999999999999</v>
      </c>
      <c r="AL366">
        <f t="shared" si="38"/>
        <v>999999999999</v>
      </c>
      <c r="AM366">
        <f t="shared" si="42"/>
        <v>999999999999</v>
      </c>
      <c r="AN366">
        <f t="shared" si="41"/>
        <v>999999999999</v>
      </c>
      <c r="AO366">
        <f t="shared" si="39"/>
        <v>999999999999</v>
      </c>
      <c r="AP366">
        <f t="shared" si="37"/>
        <v>999999999999</v>
      </c>
      <c r="AQ366">
        <f t="shared" si="36"/>
        <v>999999999999</v>
      </c>
      <c r="AR366">
        <f t="shared" si="40"/>
        <v>0</v>
      </c>
    </row>
    <row r="367" spans="25:44">
      <c r="Y367" t="str">
        <f>IF('10 - RECOVERY'!A39&lt;&gt;"",IF('10 - RECOVERY'!F39="","",'10 - RECOVERY'!F39),"")</f>
        <v/>
      </c>
      <c r="Z367" t="str">
        <f>IF('10 - RECOVERY'!A39&lt;&gt;"","Recovery","")</f>
        <v/>
      </c>
      <c r="AA367" t="str">
        <f>IF('10 - RECOVERY'!A39&lt;&gt;"",IF('10 - RECOVERY'!A39="","",'10 - RECOVERY'!A39),"")</f>
        <v/>
      </c>
      <c r="AB367" t="str">
        <f>IF('10 - RECOVERY'!A39&lt;&gt;"",IF('10 - RECOVERY'!B39="","",'10 - RECOVERY'!B39),"")</f>
        <v/>
      </c>
      <c r="AC367" t="str">
        <f>IF('10 - RECOVERY'!A39&lt;&gt;"",IF('10 - RECOVERY'!G39="","",'10 - RECOVERY'!G39),"")</f>
        <v/>
      </c>
      <c r="AD367" t="str">
        <f>IF('10 - RECOVERY'!A39&lt;&gt;"",IF('10 - RECOVERY'!H39="","",'10 - RECOVERY'!H39),"")</f>
        <v/>
      </c>
      <c r="AE367" t="str">
        <f>IF('10 - RECOVERY'!A39&lt;&gt;"",IF('10 - RECOVERY'!D39="","",'10 - RECOVERY'!D39),"")</f>
        <v/>
      </c>
      <c r="AF367" s="17" t="str">
        <f>IF('10 - RECOVERY'!A39&lt;&gt;"",IF('10 - RECOVERY'!E39="","",'10 - RECOVERY'!E39),"")</f>
        <v/>
      </c>
      <c r="AG367" t="str">
        <f>IF('10 - RECOVERY'!A39&lt;&gt;"",IF('10 - RECOVERY'!I39="","",'10 - RECOVERY'!I39),"")</f>
        <v/>
      </c>
      <c r="AH367" t="str">
        <f>IF('10 - RECOVERY'!A39&lt;&gt;"",IF('10 - RECOVERY'!J39="","",'10 - RECOVERY'!J39),"")</f>
        <v/>
      </c>
      <c r="AI367" t="str">
        <f>IF('10 - RECOVERY'!A39&lt;&gt;"",IF('10 - RECOVERY'!AL39="","",'10 - RECOVERY'!AL39),"")</f>
        <v/>
      </c>
      <c r="AJ367" t="str">
        <f>IF('10 - RECOVERY'!A39&lt;&gt;"","10 - RECOVERY row 39","")</f>
        <v/>
      </c>
      <c r="AK367">
        <f>IF(AND('10 - RECOVERY'!A39&lt;&gt;"",OR('10 - RECOVERY'!AL39&lt;&gt;"Closed",'10 - RECOVERY'!G39&lt;&gt;""),OR(AC367&lt;&gt;"",AD367&lt;&gt;"")),IF(Y367="Critical",1,IF(Y367="Review",2,3))*100000000+IF(ISNUMBER(AF367),AF367,99999)*1000+ROW(),999999999999)</f>
        <v>999999999999</v>
      </c>
      <c r="AL367">
        <f t="shared" si="38"/>
        <v>999999999999</v>
      </c>
      <c r="AM367">
        <f t="shared" si="42"/>
        <v>999999999999</v>
      </c>
      <c r="AN367">
        <f t="shared" si="41"/>
        <v>999999999999</v>
      </c>
      <c r="AO367">
        <f t="shared" si="39"/>
        <v>999999999999</v>
      </c>
      <c r="AP367">
        <f t="shared" si="37"/>
        <v>999999999999</v>
      </c>
      <c r="AQ367">
        <f t="shared" si="36"/>
        <v>999999999999</v>
      </c>
      <c r="AR367">
        <f t="shared" si="40"/>
        <v>0</v>
      </c>
    </row>
    <row r="368" spans="25:44">
      <c r="Y368" t="str">
        <f>IF('10 - RECOVERY'!A40&lt;&gt;"",IF('10 - RECOVERY'!F40="","",'10 - RECOVERY'!F40),"")</f>
        <v/>
      </c>
      <c r="Z368" t="str">
        <f>IF('10 - RECOVERY'!A40&lt;&gt;"","Recovery","")</f>
        <v/>
      </c>
      <c r="AA368" t="str">
        <f>IF('10 - RECOVERY'!A40&lt;&gt;"",IF('10 - RECOVERY'!A40="","",'10 - RECOVERY'!A40),"")</f>
        <v/>
      </c>
      <c r="AB368" t="str">
        <f>IF('10 - RECOVERY'!A40&lt;&gt;"",IF('10 - RECOVERY'!B40="","",'10 - RECOVERY'!B40),"")</f>
        <v/>
      </c>
      <c r="AC368" t="str">
        <f>IF('10 - RECOVERY'!A40&lt;&gt;"",IF('10 - RECOVERY'!G40="","",'10 - RECOVERY'!G40),"")</f>
        <v/>
      </c>
      <c r="AD368" t="str">
        <f>IF('10 - RECOVERY'!A40&lt;&gt;"",IF('10 - RECOVERY'!H40="","",'10 - RECOVERY'!H40),"")</f>
        <v/>
      </c>
      <c r="AE368" t="str">
        <f>IF('10 - RECOVERY'!A40&lt;&gt;"",IF('10 - RECOVERY'!D40="","",'10 - RECOVERY'!D40),"")</f>
        <v/>
      </c>
      <c r="AF368" s="17" t="str">
        <f>IF('10 - RECOVERY'!A40&lt;&gt;"",IF('10 - RECOVERY'!E40="","",'10 - RECOVERY'!E40),"")</f>
        <v/>
      </c>
      <c r="AG368" t="str">
        <f>IF('10 - RECOVERY'!A40&lt;&gt;"",IF('10 - RECOVERY'!I40="","",'10 - RECOVERY'!I40),"")</f>
        <v/>
      </c>
      <c r="AH368" t="str">
        <f>IF('10 - RECOVERY'!A40&lt;&gt;"",IF('10 - RECOVERY'!J40="","",'10 - RECOVERY'!J40),"")</f>
        <v/>
      </c>
      <c r="AI368" t="str">
        <f>IF('10 - RECOVERY'!A40&lt;&gt;"",IF('10 - RECOVERY'!AL40="","",'10 - RECOVERY'!AL40),"")</f>
        <v/>
      </c>
      <c r="AJ368" t="str">
        <f>IF('10 - RECOVERY'!A40&lt;&gt;"","10 - RECOVERY row 40","")</f>
        <v/>
      </c>
      <c r="AK368">
        <f>IF(AND('10 - RECOVERY'!A40&lt;&gt;"",OR('10 - RECOVERY'!AL40&lt;&gt;"Closed",'10 - RECOVERY'!G40&lt;&gt;""),OR(AC368&lt;&gt;"",AD368&lt;&gt;"")),IF(Y368="Critical",1,IF(Y368="Review",2,3))*100000000+IF(ISNUMBER(AF368),AF368,99999)*1000+ROW(),999999999999)</f>
        <v>999999999999</v>
      </c>
      <c r="AL368">
        <f t="shared" si="38"/>
        <v>999999999999</v>
      </c>
      <c r="AM368">
        <f t="shared" si="42"/>
        <v>999999999999</v>
      </c>
      <c r="AN368">
        <f t="shared" si="41"/>
        <v>999999999999</v>
      </c>
      <c r="AO368">
        <f t="shared" si="39"/>
        <v>999999999999</v>
      </c>
      <c r="AP368">
        <f t="shared" si="37"/>
        <v>999999999999</v>
      </c>
      <c r="AQ368">
        <f t="shared" si="36"/>
        <v>999999999999</v>
      </c>
      <c r="AR368">
        <f t="shared" si="40"/>
        <v>0</v>
      </c>
    </row>
    <row r="369" spans="25:44">
      <c r="Y369" t="str">
        <f>IF('10 - RECOVERY'!A41&lt;&gt;"",IF('10 - RECOVERY'!F41="","",'10 - RECOVERY'!F41),"")</f>
        <v/>
      </c>
      <c r="Z369" t="str">
        <f>IF('10 - RECOVERY'!A41&lt;&gt;"","Recovery","")</f>
        <v/>
      </c>
      <c r="AA369" t="str">
        <f>IF('10 - RECOVERY'!A41&lt;&gt;"",IF('10 - RECOVERY'!A41="","",'10 - RECOVERY'!A41),"")</f>
        <v/>
      </c>
      <c r="AB369" t="str">
        <f>IF('10 - RECOVERY'!A41&lt;&gt;"",IF('10 - RECOVERY'!B41="","",'10 - RECOVERY'!B41),"")</f>
        <v/>
      </c>
      <c r="AC369" t="str">
        <f>IF('10 - RECOVERY'!A41&lt;&gt;"",IF('10 - RECOVERY'!G41="","",'10 - RECOVERY'!G41),"")</f>
        <v/>
      </c>
      <c r="AD369" t="str">
        <f>IF('10 - RECOVERY'!A41&lt;&gt;"",IF('10 - RECOVERY'!H41="","",'10 - RECOVERY'!H41),"")</f>
        <v/>
      </c>
      <c r="AE369" t="str">
        <f>IF('10 - RECOVERY'!A41&lt;&gt;"",IF('10 - RECOVERY'!D41="","",'10 - RECOVERY'!D41),"")</f>
        <v/>
      </c>
      <c r="AF369" s="17" t="str">
        <f>IF('10 - RECOVERY'!A41&lt;&gt;"",IF('10 - RECOVERY'!E41="","",'10 - RECOVERY'!E41),"")</f>
        <v/>
      </c>
      <c r="AG369" t="str">
        <f>IF('10 - RECOVERY'!A41&lt;&gt;"",IF('10 - RECOVERY'!I41="","",'10 - RECOVERY'!I41),"")</f>
        <v/>
      </c>
      <c r="AH369" t="str">
        <f>IF('10 - RECOVERY'!A41&lt;&gt;"",IF('10 - RECOVERY'!J41="","",'10 - RECOVERY'!J41),"")</f>
        <v/>
      </c>
      <c r="AI369" t="str">
        <f>IF('10 - RECOVERY'!A41&lt;&gt;"",IF('10 - RECOVERY'!AL41="","",'10 - RECOVERY'!AL41),"")</f>
        <v/>
      </c>
      <c r="AJ369" t="str">
        <f>IF('10 - RECOVERY'!A41&lt;&gt;"","10 - RECOVERY row 41","")</f>
        <v/>
      </c>
      <c r="AK369">
        <f>IF(AND('10 - RECOVERY'!A41&lt;&gt;"",OR('10 - RECOVERY'!AL41&lt;&gt;"Closed",'10 - RECOVERY'!G41&lt;&gt;""),OR(AC369&lt;&gt;"",AD369&lt;&gt;"")),IF(Y369="Critical",1,IF(Y369="Review",2,3))*100000000+IF(ISNUMBER(AF369),AF369,99999)*1000+ROW(),999999999999)</f>
        <v>999999999999</v>
      </c>
      <c r="AL369">
        <f t="shared" si="38"/>
        <v>999999999999</v>
      </c>
      <c r="AM369">
        <f t="shared" si="42"/>
        <v>999999999999</v>
      </c>
      <c r="AN369">
        <f t="shared" si="41"/>
        <v>999999999999</v>
      </c>
      <c r="AO369">
        <f t="shared" si="39"/>
        <v>999999999999</v>
      </c>
      <c r="AP369">
        <f t="shared" si="37"/>
        <v>999999999999</v>
      </c>
      <c r="AQ369">
        <f t="shared" si="36"/>
        <v>999999999999</v>
      </c>
      <c r="AR369">
        <f t="shared" si="40"/>
        <v>0</v>
      </c>
    </row>
    <row r="370" spans="25:44">
      <c r="Y370" t="str">
        <f>IF('10 - RECOVERY'!A42&lt;&gt;"",IF('10 - RECOVERY'!F42="","",'10 - RECOVERY'!F42),"")</f>
        <v/>
      </c>
      <c r="Z370" t="str">
        <f>IF('10 - RECOVERY'!A42&lt;&gt;"","Recovery","")</f>
        <v/>
      </c>
      <c r="AA370" t="str">
        <f>IF('10 - RECOVERY'!A42&lt;&gt;"",IF('10 - RECOVERY'!A42="","",'10 - RECOVERY'!A42),"")</f>
        <v/>
      </c>
      <c r="AB370" t="str">
        <f>IF('10 - RECOVERY'!A42&lt;&gt;"",IF('10 - RECOVERY'!B42="","",'10 - RECOVERY'!B42),"")</f>
        <v/>
      </c>
      <c r="AC370" t="str">
        <f>IF('10 - RECOVERY'!A42&lt;&gt;"",IF('10 - RECOVERY'!G42="","",'10 - RECOVERY'!G42),"")</f>
        <v/>
      </c>
      <c r="AD370" t="str">
        <f>IF('10 - RECOVERY'!A42&lt;&gt;"",IF('10 - RECOVERY'!H42="","",'10 - RECOVERY'!H42),"")</f>
        <v/>
      </c>
      <c r="AE370" t="str">
        <f>IF('10 - RECOVERY'!A42&lt;&gt;"",IF('10 - RECOVERY'!D42="","",'10 - RECOVERY'!D42),"")</f>
        <v/>
      </c>
      <c r="AF370" s="17" t="str">
        <f>IF('10 - RECOVERY'!A42&lt;&gt;"",IF('10 - RECOVERY'!E42="","",'10 - RECOVERY'!E42),"")</f>
        <v/>
      </c>
      <c r="AG370" t="str">
        <f>IF('10 - RECOVERY'!A42&lt;&gt;"",IF('10 - RECOVERY'!I42="","",'10 - RECOVERY'!I42),"")</f>
        <v/>
      </c>
      <c r="AH370" t="str">
        <f>IF('10 - RECOVERY'!A42&lt;&gt;"",IF('10 - RECOVERY'!J42="","",'10 - RECOVERY'!J42),"")</f>
        <v/>
      </c>
      <c r="AI370" t="str">
        <f>IF('10 - RECOVERY'!A42&lt;&gt;"",IF('10 - RECOVERY'!AL42="","",'10 - RECOVERY'!AL42),"")</f>
        <v/>
      </c>
      <c r="AJ370" t="str">
        <f>IF('10 - RECOVERY'!A42&lt;&gt;"","10 - RECOVERY row 42","")</f>
        <v/>
      </c>
      <c r="AK370">
        <f>IF(AND('10 - RECOVERY'!A42&lt;&gt;"",OR('10 - RECOVERY'!AL42&lt;&gt;"Closed",'10 - RECOVERY'!G42&lt;&gt;""),OR(AC370&lt;&gt;"",AD370&lt;&gt;"")),IF(Y370="Critical",1,IF(Y370="Review",2,3))*100000000+IF(ISNUMBER(AF370),AF370,99999)*1000+ROW(),999999999999)</f>
        <v>999999999999</v>
      </c>
      <c r="AL370">
        <f t="shared" si="38"/>
        <v>999999999999</v>
      </c>
      <c r="AM370">
        <f t="shared" si="42"/>
        <v>999999999999</v>
      </c>
      <c r="AN370">
        <f t="shared" si="41"/>
        <v>999999999999</v>
      </c>
      <c r="AO370">
        <f t="shared" si="39"/>
        <v>999999999999</v>
      </c>
      <c r="AP370">
        <f t="shared" si="37"/>
        <v>999999999999</v>
      </c>
      <c r="AQ370">
        <f t="shared" si="36"/>
        <v>999999999999</v>
      </c>
      <c r="AR370">
        <f t="shared" si="40"/>
        <v>0</v>
      </c>
    </row>
    <row r="371" spans="25:44">
      <c r="Y371" t="str">
        <f>IF('10 - RECOVERY'!A43&lt;&gt;"",IF('10 - RECOVERY'!F43="","",'10 - RECOVERY'!F43),"")</f>
        <v/>
      </c>
      <c r="Z371" t="str">
        <f>IF('10 - RECOVERY'!A43&lt;&gt;"","Recovery","")</f>
        <v/>
      </c>
      <c r="AA371" t="str">
        <f>IF('10 - RECOVERY'!A43&lt;&gt;"",IF('10 - RECOVERY'!A43="","",'10 - RECOVERY'!A43),"")</f>
        <v/>
      </c>
      <c r="AB371" t="str">
        <f>IF('10 - RECOVERY'!A43&lt;&gt;"",IF('10 - RECOVERY'!B43="","",'10 - RECOVERY'!B43),"")</f>
        <v/>
      </c>
      <c r="AC371" t="str">
        <f>IF('10 - RECOVERY'!A43&lt;&gt;"",IF('10 - RECOVERY'!G43="","",'10 - RECOVERY'!G43),"")</f>
        <v/>
      </c>
      <c r="AD371" t="str">
        <f>IF('10 - RECOVERY'!A43&lt;&gt;"",IF('10 - RECOVERY'!H43="","",'10 - RECOVERY'!H43),"")</f>
        <v/>
      </c>
      <c r="AE371" t="str">
        <f>IF('10 - RECOVERY'!A43&lt;&gt;"",IF('10 - RECOVERY'!D43="","",'10 - RECOVERY'!D43),"")</f>
        <v/>
      </c>
      <c r="AF371" s="17" t="str">
        <f>IF('10 - RECOVERY'!A43&lt;&gt;"",IF('10 - RECOVERY'!E43="","",'10 - RECOVERY'!E43),"")</f>
        <v/>
      </c>
      <c r="AG371" t="str">
        <f>IF('10 - RECOVERY'!A43&lt;&gt;"",IF('10 - RECOVERY'!I43="","",'10 - RECOVERY'!I43),"")</f>
        <v/>
      </c>
      <c r="AH371" t="str">
        <f>IF('10 - RECOVERY'!A43&lt;&gt;"",IF('10 - RECOVERY'!J43="","",'10 - RECOVERY'!J43),"")</f>
        <v/>
      </c>
      <c r="AI371" t="str">
        <f>IF('10 - RECOVERY'!A43&lt;&gt;"",IF('10 - RECOVERY'!AL43="","",'10 - RECOVERY'!AL43),"")</f>
        <v/>
      </c>
      <c r="AJ371" t="str">
        <f>IF('10 - RECOVERY'!A43&lt;&gt;"","10 - RECOVERY row 43","")</f>
        <v/>
      </c>
      <c r="AK371">
        <f>IF(AND('10 - RECOVERY'!A43&lt;&gt;"",OR('10 - RECOVERY'!AL43&lt;&gt;"Closed",'10 - RECOVERY'!G43&lt;&gt;""),OR(AC371&lt;&gt;"",AD371&lt;&gt;"")),IF(Y371="Critical",1,IF(Y371="Review",2,3))*100000000+IF(ISNUMBER(AF371),AF371,99999)*1000+ROW(),999999999999)</f>
        <v>999999999999</v>
      </c>
      <c r="AL371">
        <f t="shared" si="38"/>
        <v>999999999999</v>
      </c>
      <c r="AM371">
        <f t="shared" si="42"/>
        <v>999999999999</v>
      </c>
      <c r="AN371">
        <f t="shared" si="41"/>
        <v>999999999999</v>
      </c>
      <c r="AO371">
        <f t="shared" si="39"/>
        <v>999999999999</v>
      </c>
      <c r="AP371">
        <f t="shared" si="37"/>
        <v>999999999999</v>
      </c>
      <c r="AQ371">
        <f t="shared" si="36"/>
        <v>999999999999</v>
      </c>
      <c r="AR371">
        <f t="shared" si="40"/>
        <v>0</v>
      </c>
    </row>
    <row r="372" spans="25:44">
      <c r="Y372" t="str">
        <f>IF('10 - RECOVERY'!A44&lt;&gt;"",IF('10 - RECOVERY'!F44="","",'10 - RECOVERY'!F44),"")</f>
        <v/>
      </c>
      <c r="Z372" t="str">
        <f>IF('10 - RECOVERY'!A44&lt;&gt;"","Recovery","")</f>
        <v/>
      </c>
      <c r="AA372" t="str">
        <f>IF('10 - RECOVERY'!A44&lt;&gt;"",IF('10 - RECOVERY'!A44="","",'10 - RECOVERY'!A44),"")</f>
        <v/>
      </c>
      <c r="AB372" t="str">
        <f>IF('10 - RECOVERY'!A44&lt;&gt;"",IF('10 - RECOVERY'!B44="","",'10 - RECOVERY'!B44),"")</f>
        <v/>
      </c>
      <c r="AC372" t="str">
        <f>IF('10 - RECOVERY'!A44&lt;&gt;"",IF('10 - RECOVERY'!G44="","",'10 - RECOVERY'!G44),"")</f>
        <v/>
      </c>
      <c r="AD372" t="str">
        <f>IF('10 - RECOVERY'!A44&lt;&gt;"",IF('10 - RECOVERY'!H44="","",'10 - RECOVERY'!H44),"")</f>
        <v/>
      </c>
      <c r="AE372" t="str">
        <f>IF('10 - RECOVERY'!A44&lt;&gt;"",IF('10 - RECOVERY'!D44="","",'10 - RECOVERY'!D44),"")</f>
        <v/>
      </c>
      <c r="AF372" s="17" t="str">
        <f>IF('10 - RECOVERY'!A44&lt;&gt;"",IF('10 - RECOVERY'!E44="","",'10 - RECOVERY'!E44),"")</f>
        <v/>
      </c>
      <c r="AG372" t="str">
        <f>IF('10 - RECOVERY'!A44&lt;&gt;"",IF('10 - RECOVERY'!I44="","",'10 - RECOVERY'!I44),"")</f>
        <v/>
      </c>
      <c r="AH372" t="str">
        <f>IF('10 - RECOVERY'!A44&lt;&gt;"",IF('10 - RECOVERY'!J44="","",'10 - RECOVERY'!J44),"")</f>
        <v/>
      </c>
      <c r="AI372" t="str">
        <f>IF('10 - RECOVERY'!A44&lt;&gt;"",IF('10 - RECOVERY'!AL44="","",'10 - RECOVERY'!AL44),"")</f>
        <v/>
      </c>
      <c r="AJ372" t="str">
        <f>IF('10 - RECOVERY'!A44&lt;&gt;"","10 - RECOVERY row 44","")</f>
        <v/>
      </c>
      <c r="AK372">
        <f>IF(AND('10 - RECOVERY'!A44&lt;&gt;"",OR('10 - RECOVERY'!AL44&lt;&gt;"Closed",'10 - RECOVERY'!G44&lt;&gt;""),OR(AC372&lt;&gt;"",AD372&lt;&gt;"")),IF(Y372="Critical",1,IF(Y372="Review",2,3))*100000000+IF(ISNUMBER(AF372),AF372,99999)*1000+ROW(),999999999999)</f>
        <v>999999999999</v>
      </c>
      <c r="AL372">
        <f t="shared" si="38"/>
        <v>999999999999</v>
      </c>
      <c r="AM372">
        <f t="shared" si="42"/>
        <v>999999999999</v>
      </c>
      <c r="AN372">
        <f t="shared" si="41"/>
        <v>999999999999</v>
      </c>
      <c r="AO372">
        <f t="shared" si="39"/>
        <v>999999999999</v>
      </c>
      <c r="AP372">
        <f t="shared" si="37"/>
        <v>999999999999</v>
      </c>
      <c r="AQ372">
        <f t="shared" si="36"/>
        <v>999999999999</v>
      </c>
      <c r="AR372">
        <f t="shared" si="40"/>
        <v>0</v>
      </c>
    </row>
    <row r="373" spans="25:44">
      <c r="Y373" t="str">
        <f>IF('10 - RECOVERY'!A45&lt;&gt;"",IF('10 - RECOVERY'!F45="","",'10 - RECOVERY'!F45),"")</f>
        <v/>
      </c>
      <c r="Z373" t="str">
        <f>IF('10 - RECOVERY'!A45&lt;&gt;"","Recovery","")</f>
        <v/>
      </c>
      <c r="AA373" t="str">
        <f>IF('10 - RECOVERY'!A45&lt;&gt;"",IF('10 - RECOVERY'!A45="","",'10 - RECOVERY'!A45),"")</f>
        <v/>
      </c>
      <c r="AB373" t="str">
        <f>IF('10 - RECOVERY'!A45&lt;&gt;"",IF('10 - RECOVERY'!B45="","",'10 - RECOVERY'!B45),"")</f>
        <v/>
      </c>
      <c r="AC373" t="str">
        <f>IF('10 - RECOVERY'!A45&lt;&gt;"",IF('10 - RECOVERY'!G45="","",'10 - RECOVERY'!G45),"")</f>
        <v/>
      </c>
      <c r="AD373" t="str">
        <f>IF('10 - RECOVERY'!A45&lt;&gt;"",IF('10 - RECOVERY'!H45="","",'10 - RECOVERY'!H45),"")</f>
        <v/>
      </c>
      <c r="AE373" t="str">
        <f>IF('10 - RECOVERY'!A45&lt;&gt;"",IF('10 - RECOVERY'!D45="","",'10 - RECOVERY'!D45),"")</f>
        <v/>
      </c>
      <c r="AF373" s="17" t="str">
        <f>IF('10 - RECOVERY'!A45&lt;&gt;"",IF('10 - RECOVERY'!E45="","",'10 - RECOVERY'!E45),"")</f>
        <v/>
      </c>
      <c r="AG373" t="str">
        <f>IF('10 - RECOVERY'!A45&lt;&gt;"",IF('10 - RECOVERY'!I45="","",'10 - RECOVERY'!I45),"")</f>
        <v/>
      </c>
      <c r="AH373" t="str">
        <f>IF('10 - RECOVERY'!A45&lt;&gt;"",IF('10 - RECOVERY'!J45="","",'10 - RECOVERY'!J45),"")</f>
        <v/>
      </c>
      <c r="AI373" t="str">
        <f>IF('10 - RECOVERY'!A45&lt;&gt;"",IF('10 - RECOVERY'!AL45="","",'10 - RECOVERY'!AL45),"")</f>
        <v/>
      </c>
      <c r="AJ373" t="str">
        <f>IF('10 - RECOVERY'!A45&lt;&gt;"","10 - RECOVERY row 45","")</f>
        <v/>
      </c>
      <c r="AK373">
        <f>IF(AND('10 - RECOVERY'!A45&lt;&gt;"",OR('10 - RECOVERY'!AL45&lt;&gt;"Closed",'10 - RECOVERY'!G45&lt;&gt;""),OR(AC373&lt;&gt;"",AD373&lt;&gt;"")),IF(Y373="Critical",1,IF(Y373="Review",2,3))*100000000+IF(ISNUMBER(AF373),AF373,99999)*1000+ROW(),999999999999)</f>
        <v>999999999999</v>
      </c>
      <c r="AL373">
        <f t="shared" si="38"/>
        <v>999999999999</v>
      </c>
      <c r="AM373">
        <f t="shared" si="42"/>
        <v>999999999999</v>
      </c>
      <c r="AN373">
        <f t="shared" si="41"/>
        <v>999999999999</v>
      </c>
      <c r="AO373">
        <f t="shared" si="39"/>
        <v>999999999999</v>
      </c>
      <c r="AP373">
        <f t="shared" si="37"/>
        <v>999999999999</v>
      </c>
      <c r="AQ373">
        <f t="shared" si="36"/>
        <v>999999999999</v>
      </c>
      <c r="AR373">
        <f t="shared" si="40"/>
        <v>0</v>
      </c>
    </row>
    <row r="374" spans="25:44">
      <c r="Y374" t="str">
        <f>IF('10 - RECOVERY'!A46&lt;&gt;"",IF('10 - RECOVERY'!F46="","",'10 - RECOVERY'!F46),"")</f>
        <v/>
      </c>
      <c r="Z374" t="str">
        <f>IF('10 - RECOVERY'!A46&lt;&gt;"","Recovery","")</f>
        <v/>
      </c>
      <c r="AA374" t="str">
        <f>IF('10 - RECOVERY'!A46&lt;&gt;"",IF('10 - RECOVERY'!A46="","",'10 - RECOVERY'!A46),"")</f>
        <v/>
      </c>
      <c r="AB374" t="str">
        <f>IF('10 - RECOVERY'!A46&lt;&gt;"",IF('10 - RECOVERY'!B46="","",'10 - RECOVERY'!B46),"")</f>
        <v/>
      </c>
      <c r="AC374" t="str">
        <f>IF('10 - RECOVERY'!A46&lt;&gt;"",IF('10 - RECOVERY'!G46="","",'10 - RECOVERY'!G46),"")</f>
        <v/>
      </c>
      <c r="AD374" t="str">
        <f>IF('10 - RECOVERY'!A46&lt;&gt;"",IF('10 - RECOVERY'!H46="","",'10 - RECOVERY'!H46),"")</f>
        <v/>
      </c>
      <c r="AE374" t="str">
        <f>IF('10 - RECOVERY'!A46&lt;&gt;"",IF('10 - RECOVERY'!D46="","",'10 - RECOVERY'!D46),"")</f>
        <v/>
      </c>
      <c r="AF374" s="17" t="str">
        <f>IF('10 - RECOVERY'!A46&lt;&gt;"",IF('10 - RECOVERY'!E46="","",'10 - RECOVERY'!E46),"")</f>
        <v/>
      </c>
      <c r="AG374" t="str">
        <f>IF('10 - RECOVERY'!A46&lt;&gt;"",IF('10 - RECOVERY'!I46="","",'10 - RECOVERY'!I46),"")</f>
        <v/>
      </c>
      <c r="AH374" t="str">
        <f>IF('10 - RECOVERY'!A46&lt;&gt;"",IF('10 - RECOVERY'!J46="","",'10 - RECOVERY'!J46),"")</f>
        <v/>
      </c>
      <c r="AI374" t="str">
        <f>IF('10 - RECOVERY'!A46&lt;&gt;"",IF('10 - RECOVERY'!AL46="","",'10 - RECOVERY'!AL46),"")</f>
        <v/>
      </c>
      <c r="AJ374" t="str">
        <f>IF('10 - RECOVERY'!A46&lt;&gt;"","10 - RECOVERY row 46","")</f>
        <v/>
      </c>
      <c r="AK374">
        <f>IF(AND('10 - RECOVERY'!A46&lt;&gt;"",OR('10 - RECOVERY'!AL46&lt;&gt;"Closed",'10 - RECOVERY'!G46&lt;&gt;""),OR(AC374&lt;&gt;"",AD374&lt;&gt;"")),IF(Y374="Critical",1,IF(Y374="Review",2,3))*100000000+IF(ISNUMBER(AF374),AF374,99999)*1000+ROW(),999999999999)</f>
        <v>999999999999</v>
      </c>
      <c r="AL374">
        <f t="shared" si="38"/>
        <v>999999999999</v>
      </c>
      <c r="AM374">
        <f t="shared" si="42"/>
        <v>999999999999</v>
      </c>
      <c r="AN374">
        <f t="shared" si="41"/>
        <v>999999999999</v>
      </c>
      <c r="AO374">
        <f t="shared" si="39"/>
        <v>999999999999</v>
      </c>
      <c r="AP374">
        <f t="shared" si="37"/>
        <v>999999999999</v>
      </c>
      <c r="AQ374">
        <f t="shared" si="36"/>
        <v>999999999999</v>
      </c>
      <c r="AR374">
        <f t="shared" si="40"/>
        <v>0</v>
      </c>
    </row>
    <row r="375" spans="25:44">
      <c r="Y375" t="str">
        <f>IF('10 - RECOVERY'!A47&lt;&gt;"",IF('10 - RECOVERY'!F47="","",'10 - RECOVERY'!F47),"")</f>
        <v/>
      </c>
      <c r="Z375" t="str">
        <f>IF('10 - RECOVERY'!A47&lt;&gt;"","Recovery","")</f>
        <v/>
      </c>
      <c r="AA375" t="str">
        <f>IF('10 - RECOVERY'!A47&lt;&gt;"",IF('10 - RECOVERY'!A47="","",'10 - RECOVERY'!A47),"")</f>
        <v/>
      </c>
      <c r="AB375" t="str">
        <f>IF('10 - RECOVERY'!A47&lt;&gt;"",IF('10 - RECOVERY'!B47="","",'10 - RECOVERY'!B47),"")</f>
        <v/>
      </c>
      <c r="AC375" t="str">
        <f>IF('10 - RECOVERY'!A47&lt;&gt;"",IF('10 - RECOVERY'!G47="","",'10 - RECOVERY'!G47),"")</f>
        <v/>
      </c>
      <c r="AD375" t="str">
        <f>IF('10 - RECOVERY'!A47&lt;&gt;"",IF('10 - RECOVERY'!H47="","",'10 - RECOVERY'!H47),"")</f>
        <v/>
      </c>
      <c r="AE375" t="str">
        <f>IF('10 - RECOVERY'!A47&lt;&gt;"",IF('10 - RECOVERY'!D47="","",'10 - RECOVERY'!D47),"")</f>
        <v/>
      </c>
      <c r="AF375" s="17" t="str">
        <f>IF('10 - RECOVERY'!A47&lt;&gt;"",IF('10 - RECOVERY'!E47="","",'10 - RECOVERY'!E47),"")</f>
        <v/>
      </c>
      <c r="AG375" t="str">
        <f>IF('10 - RECOVERY'!A47&lt;&gt;"",IF('10 - RECOVERY'!I47="","",'10 - RECOVERY'!I47),"")</f>
        <v/>
      </c>
      <c r="AH375" t="str">
        <f>IF('10 - RECOVERY'!A47&lt;&gt;"",IF('10 - RECOVERY'!J47="","",'10 - RECOVERY'!J47),"")</f>
        <v/>
      </c>
      <c r="AI375" t="str">
        <f>IF('10 - RECOVERY'!A47&lt;&gt;"",IF('10 - RECOVERY'!AL47="","",'10 - RECOVERY'!AL47),"")</f>
        <v/>
      </c>
      <c r="AJ375" t="str">
        <f>IF('10 - RECOVERY'!A47&lt;&gt;"","10 - RECOVERY row 47","")</f>
        <v/>
      </c>
      <c r="AK375">
        <f>IF(AND('10 - RECOVERY'!A47&lt;&gt;"",OR('10 - RECOVERY'!AL47&lt;&gt;"Closed",'10 - RECOVERY'!G47&lt;&gt;""),OR(AC375&lt;&gt;"",AD375&lt;&gt;"")),IF(Y375="Critical",1,IF(Y375="Review",2,3))*100000000+IF(ISNUMBER(AF375),AF375,99999)*1000+ROW(),999999999999)</f>
        <v>999999999999</v>
      </c>
      <c r="AL375">
        <f t="shared" si="38"/>
        <v>999999999999</v>
      </c>
      <c r="AM375">
        <f t="shared" si="42"/>
        <v>999999999999</v>
      </c>
      <c r="AN375">
        <f t="shared" si="41"/>
        <v>999999999999</v>
      </c>
      <c r="AO375">
        <f t="shared" si="39"/>
        <v>999999999999</v>
      </c>
      <c r="AP375">
        <f t="shared" si="37"/>
        <v>999999999999</v>
      </c>
      <c r="AQ375">
        <f t="shared" si="36"/>
        <v>999999999999</v>
      </c>
      <c r="AR375">
        <f t="shared" si="40"/>
        <v>0</v>
      </c>
    </row>
    <row r="376" spans="25:44">
      <c r="Y376" t="str">
        <f>IF('10 - RECOVERY'!A48&lt;&gt;"",IF('10 - RECOVERY'!F48="","",'10 - RECOVERY'!F48),"")</f>
        <v/>
      </c>
      <c r="Z376" t="str">
        <f>IF('10 - RECOVERY'!A48&lt;&gt;"","Recovery","")</f>
        <v/>
      </c>
      <c r="AA376" t="str">
        <f>IF('10 - RECOVERY'!A48&lt;&gt;"",IF('10 - RECOVERY'!A48="","",'10 - RECOVERY'!A48),"")</f>
        <v/>
      </c>
      <c r="AB376" t="str">
        <f>IF('10 - RECOVERY'!A48&lt;&gt;"",IF('10 - RECOVERY'!B48="","",'10 - RECOVERY'!B48),"")</f>
        <v/>
      </c>
      <c r="AC376" t="str">
        <f>IF('10 - RECOVERY'!A48&lt;&gt;"",IF('10 - RECOVERY'!G48="","",'10 - RECOVERY'!G48),"")</f>
        <v/>
      </c>
      <c r="AD376" t="str">
        <f>IF('10 - RECOVERY'!A48&lt;&gt;"",IF('10 - RECOVERY'!H48="","",'10 - RECOVERY'!H48),"")</f>
        <v/>
      </c>
      <c r="AE376" t="str">
        <f>IF('10 - RECOVERY'!A48&lt;&gt;"",IF('10 - RECOVERY'!D48="","",'10 - RECOVERY'!D48),"")</f>
        <v/>
      </c>
      <c r="AF376" s="17" t="str">
        <f>IF('10 - RECOVERY'!A48&lt;&gt;"",IF('10 - RECOVERY'!E48="","",'10 - RECOVERY'!E48),"")</f>
        <v/>
      </c>
      <c r="AG376" t="str">
        <f>IF('10 - RECOVERY'!A48&lt;&gt;"",IF('10 - RECOVERY'!I48="","",'10 - RECOVERY'!I48),"")</f>
        <v/>
      </c>
      <c r="AH376" t="str">
        <f>IF('10 - RECOVERY'!A48&lt;&gt;"",IF('10 - RECOVERY'!J48="","",'10 - RECOVERY'!J48),"")</f>
        <v/>
      </c>
      <c r="AI376" t="str">
        <f>IF('10 - RECOVERY'!A48&lt;&gt;"",IF('10 - RECOVERY'!AL48="","",'10 - RECOVERY'!AL48),"")</f>
        <v/>
      </c>
      <c r="AJ376" t="str">
        <f>IF('10 - RECOVERY'!A48&lt;&gt;"","10 - RECOVERY row 48","")</f>
        <v/>
      </c>
      <c r="AK376">
        <f>IF(AND('10 - RECOVERY'!A48&lt;&gt;"",OR('10 - RECOVERY'!AL48&lt;&gt;"Closed",'10 - RECOVERY'!G48&lt;&gt;""),OR(AC376&lt;&gt;"",AD376&lt;&gt;"")),IF(Y376="Critical",1,IF(Y376="Review",2,3))*100000000+IF(ISNUMBER(AF376),AF376,99999)*1000+ROW(),999999999999)</f>
        <v>999999999999</v>
      </c>
      <c r="AL376">
        <f t="shared" si="38"/>
        <v>999999999999</v>
      </c>
      <c r="AM376">
        <f t="shared" si="42"/>
        <v>999999999999</v>
      </c>
      <c r="AN376">
        <f t="shared" si="41"/>
        <v>999999999999</v>
      </c>
      <c r="AO376">
        <f t="shared" si="39"/>
        <v>999999999999</v>
      </c>
      <c r="AP376">
        <f t="shared" si="37"/>
        <v>999999999999</v>
      </c>
      <c r="AQ376">
        <f t="shared" si="36"/>
        <v>999999999999</v>
      </c>
      <c r="AR376">
        <f t="shared" si="40"/>
        <v>0</v>
      </c>
    </row>
    <row r="377" spans="25:44">
      <c r="Y377" t="str">
        <f>IF('10 - RECOVERY'!A49&lt;&gt;"",IF('10 - RECOVERY'!F49="","",'10 - RECOVERY'!F49),"")</f>
        <v/>
      </c>
      <c r="Z377" t="str">
        <f>IF('10 - RECOVERY'!A49&lt;&gt;"","Recovery","")</f>
        <v/>
      </c>
      <c r="AA377" t="str">
        <f>IF('10 - RECOVERY'!A49&lt;&gt;"",IF('10 - RECOVERY'!A49="","",'10 - RECOVERY'!A49),"")</f>
        <v/>
      </c>
      <c r="AB377" t="str">
        <f>IF('10 - RECOVERY'!A49&lt;&gt;"",IF('10 - RECOVERY'!B49="","",'10 - RECOVERY'!B49),"")</f>
        <v/>
      </c>
      <c r="AC377" t="str">
        <f>IF('10 - RECOVERY'!A49&lt;&gt;"",IF('10 - RECOVERY'!G49="","",'10 - RECOVERY'!G49),"")</f>
        <v/>
      </c>
      <c r="AD377" t="str">
        <f>IF('10 - RECOVERY'!A49&lt;&gt;"",IF('10 - RECOVERY'!H49="","",'10 - RECOVERY'!H49),"")</f>
        <v/>
      </c>
      <c r="AE377" t="str">
        <f>IF('10 - RECOVERY'!A49&lt;&gt;"",IF('10 - RECOVERY'!D49="","",'10 - RECOVERY'!D49),"")</f>
        <v/>
      </c>
      <c r="AF377" s="17" t="str">
        <f>IF('10 - RECOVERY'!A49&lt;&gt;"",IF('10 - RECOVERY'!E49="","",'10 - RECOVERY'!E49),"")</f>
        <v/>
      </c>
      <c r="AG377" t="str">
        <f>IF('10 - RECOVERY'!A49&lt;&gt;"",IF('10 - RECOVERY'!I49="","",'10 - RECOVERY'!I49),"")</f>
        <v/>
      </c>
      <c r="AH377" t="str">
        <f>IF('10 - RECOVERY'!A49&lt;&gt;"",IF('10 - RECOVERY'!J49="","",'10 - RECOVERY'!J49),"")</f>
        <v/>
      </c>
      <c r="AI377" t="str">
        <f>IF('10 - RECOVERY'!A49&lt;&gt;"",IF('10 - RECOVERY'!AL49="","",'10 - RECOVERY'!AL49),"")</f>
        <v/>
      </c>
      <c r="AJ377" t="str">
        <f>IF('10 - RECOVERY'!A49&lt;&gt;"","10 - RECOVERY row 49","")</f>
        <v/>
      </c>
      <c r="AK377">
        <f>IF(AND('10 - RECOVERY'!A49&lt;&gt;"",OR('10 - RECOVERY'!AL49&lt;&gt;"Closed",'10 - RECOVERY'!G49&lt;&gt;""),OR(AC377&lt;&gt;"",AD377&lt;&gt;"")),IF(Y377="Critical",1,IF(Y377="Review",2,3))*100000000+IF(ISNUMBER(AF377),AF377,99999)*1000+ROW(),999999999999)</f>
        <v>999999999999</v>
      </c>
      <c r="AL377">
        <f t="shared" si="38"/>
        <v>999999999999</v>
      </c>
      <c r="AM377">
        <f t="shared" si="42"/>
        <v>999999999999</v>
      </c>
      <c r="AN377">
        <f t="shared" si="41"/>
        <v>999999999999</v>
      </c>
      <c r="AO377">
        <f t="shared" si="39"/>
        <v>999999999999</v>
      </c>
      <c r="AP377">
        <f t="shared" si="37"/>
        <v>999999999999</v>
      </c>
      <c r="AQ377">
        <f t="shared" si="36"/>
        <v>999999999999</v>
      </c>
      <c r="AR377">
        <f t="shared" si="40"/>
        <v>0</v>
      </c>
    </row>
    <row r="378" spans="25:44">
      <c r="Y378" t="str">
        <f>IF('10 - RECOVERY'!A50&lt;&gt;"",IF('10 - RECOVERY'!F50="","",'10 - RECOVERY'!F50),"")</f>
        <v/>
      </c>
      <c r="Z378" t="str">
        <f>IF('10 - RECOVERY'!A50&lt;&gt;"","Recovery","")</f>
        <v/>
      </c>
      <c r="AA378" t="str">
        <f>IF('10 - RECOVERY'!A50&lt;&gt;"",IF('10 - RECOVERY'!A50="","",'10 - RECOVERY'!A50),"")</f>
        <v/>
      </c>
      <c r="AB378" t="str">
        <f>IF('10 - RECOVERY'!A50&lt;&gt;"",IF('10 - RECOVERY'!B50="","",'10 - RECOVERY'!B50),"")</f>
        <v/>
      </c>
      <c r="AC378" t="str">
        <f>IF('10 - RECOVERY'!A50&lt;&gt;"",IF('10 - RECOVERY'!G50="","",'10 - RECOVERY'!G50),"")</f>
        <v/>
      </c>
      <c r="AD378" t="str">
        <f>IF('10 - RECOVERY'!A50&lt;&gt;"",IF('10 - RECOVERY'!H50="","",'10 - RECOVERY'!H50),"")</f>
        <v/>
      </c>
      <c r="AE378" t="str">
        <f>IF('10 - RECOVERY'!A50&lt;&gt;"",IF('10 - RECOVERY'!D50="","",'10 - RECOVERY'!D50),"")</f>
        <v/>
      </c>
      <c r="AF378" s="17" t="str">
        <f>IF('10 - RECOVERY'!A50&lt;&gt;"",IF('10 - RECOVERY'!E50="","",'10 - RECOVERY'!E50),"")</f>
        <v/>
      </c>
      <c r="AG378" t="str">
        <f>IF('10 - RECOVERY'!A50&lt;&gt;"",IF('10 - RECOVERY'!I50="","",'10 - RECOVERY'!I50),"")</f>
        <v/>
      </c>
      <c r="AH378" t="str">
        <f>IF('10 - RECOVERY'!A50&lt;&gt;"",IF('10 - RECOVERY'!J50="","",'10 - RECOVERY'!J50),"")</f>
        <v/>
      </c>
      <c r="AI378" t="str">
        <f>IF('10 - RECOVERY'!A50&lt;&gt;"",IF('10 - RECOVERY'!AL50="","",'10 - RECOVERY'!AL50),"")</f>
        <v/>
      </c>
      <c r="AJ378" t="str">
        <f>IF('10 - RECOVERY'!A50&lt;&gt;"","10 - RECOVERY row 50","")</f>
        <v/>
      </c>
      <c r="AK378">
        <f>IF(AND('10 - RECOVERY'!A50&lt;&gt;"",OR('10 - RECOVERY'!AL50&lt;&gt;"Closed",'10 - RECOVERY'!G50&lt;&gt;""),OR(AC378&lt;&gt;"",AD378&lt;&gt;"")),IF(Y378="Critical",1,IF(Y378="Review",2,3))*100000000+IF(ISNUMBER(AF378),AF378,99999)*1000+ROW(),999999999999)</f>
        <v>999999999999</v>
      </c>
      <c r="AL378">
        <f t="shared" si="38"/>
        <v>999999999999</v>
      </c>
      <c r="AM378">
        <f t="shared" si="42"/>
        <v>999999999999</v>
      </c>
      <c r="AN378">
        <f t="shared" si="41"/>
        <v>999999999999</v>
      </c>
      <c r="AO378">
        <f t="shared" si="39"/>
        <v>999999999999</v>
      </c>
      <c r="AP378">
        <f t="shared" si="37"/>
        <v>999999999999</v>
      </c>
      <c r="AQ378">
        <f t="shared" si="36"/>
        <v>999999999999</v>
      </c>
      <c r="AR378">
        <f t="shared" si="40"/>
        <v>0</v>
      </c>
    </row>
    <row r="379" spans="25:44">
      <c r="Y379" t="str">
        <f>IF('10 - RECOVERY'!A51&lt;&gt;"",IF('10 - RECOVERY'!F51="","",'10 - RECOVERY'!F51),"")</f>
        <v/>
      </c>
      <c r="Z379" t="str">
        <f>IF('10 - RECOVERY'!A51&lt;&gt;"","Recovery","")</f>
        <v/>
      </c>
      <c r="AA379" t="str">
        <f>IF('10 - RECOVERY'!A51&lt;&gt;"",IF('10 - RECOVERY'!A51="","",'10 - RECOVERY'!A51),"")</f>
        <v/>
      </c>
      <c r="AB379" t="str">
        <f>IF('10 - RECOVERY'!A51&lt;&gt;"",IF('10 - RECOVERY'!B51="","",'10 - RECOVERY'!B51),"")</f>
        <v/>
      </c>
      <c r="AC379" t="str">
        <f>IF('10 - RECOVERY'!A51&lt;&gt;"",IF('10 - RECOVERY'!G51="","",'10 - RECOVERY'!G51),"")</f>
        <v/>
      </c>
      <c r="AD379" t="str">
        <f>IF('10 - RECOVERY'!A51&lt;&gt;"",IF('10 - RECOVERY'!H51="","",'10 - RECOVERY'!H51),"")</f>
        <v/>
      </c>
      <c r="AE379" t="str">
        <f>IF('10 - RECOVERY'!A51&lt;&gt;"",IF('10 - RECOVERY'!D51="","",'10 - RECOVERY'!D51),"")</f>
        <v/>
      </c>
      <c r="AF379" s="17" t="str">
        <f>IF('10 - RECOVERY'!A51&lt;&gt;"",IF('10 - RECOVERY'!E51="","",'10 - RECOVERY'!E51),"")</f>
        <v/>
      </c>
      <c r="AG379" t="str">
        <f>IF('10 - RECOVERY'!A51&lt;&gt;"",IF('10 - RECOVERY'!I51="","",'10 - RECOVERY'!I51),"")</f>
        <v/>
      </c>
      <c r="AH379" t="str">
        <f>IF('10 - RECOVERY'!A51&lt;&gt;"",IF('10 - RECOVERY'!J51="","",'10 - RECOVERY'!J51),"")</f>
        <v/>
      </c>
      <c r="AI379" t="str">
        <f>IF('10 - RECOVERY'!A51&lt;&gt;"",IF('10 - RECOVERY'!AL51="","",'10 - RECOVERY'!AL51),"")</f>
        <v/>
      </c>
      <c r="AJ379" t="str">
        <f>IF('10 - RECOVERY'!A51&lt;&gt;"","10 - RECOVERY row 51","")</f>
        <v/>
      </c>
      <c r="AK379">
        <f>IF(AND('10 - RECOVERY'!A51&lt;&gt;"",OR('10 - RECOVERY'!AL51&lt;&gt;"Closed",'10 - RECOVERY'!G51&lt;&gt;""),OR(AC379&lt;&gt;"",AD379&lt;&gt;"")),IF(Y379="Critical",1,IF(Y379="Review",2,3))*100000000+IF(ISNUMBER(AF379),AF379,99999)*1000+ROW(),999999999999)</f>
        <v>999999999999</v>
      </c>
      <c r="AL379">
        <f t="shared" si="38"/>
        <v>999999999999</v>
      </c>
      <c r="AM379">
        <f t="shared" si="42"/>
        <v>999999999999</v>
      </c>
      <c r="AN379">
        <f t="shared" si="41"/>
        <v>999999999999</v>
      </c>
      <c r="AO379">
        <f t="shared" si="39"/>
        <v>999999999999</v>
      </c>
      <c r="AP379">
        <f t="shared" si="37"/>
        <v>999999999999</v>
      </c>
      <c r="AQ379">
        <f t="shared" si="36"/>
        <v>999999999999</v>
      </c>
      <c r="AR379">
        <f t="shared" si="40"/>
        <v>0</v>
      </c>
    </row>
    <row r="380" spans="25:44">
      <c r="Y380" t="str">
        <f>IF('10 - RECOVERY'!A52&lt;&gt;"",IF('10 - RECOVERY'!F52="","",'10 - RECOVERY'!F52),"")</f>
        <v/>
      </c>
      <c r="Z380" t="str">
        <f>IF('10 - RECOVERY'!A52&lt;&gt;"","Recovery","")</f>
        <v/>
      </c>
      <c r="AA380" t="str">
        <f>IF('10 - RECOVERY'!A52&lt;&gt;"",IF('10 - RECOVERY'!A52="","",'10 - RECOVERY'!A52),"")</f>
        <v/>
      </c>
      <c r="AB380" t="str">
        <f>IF('10 - RECOVERY'!A52&lt;&gt;"",IF('10 - RECOVERY'!B52="","",'10 - RECOVERY'!B52),"")</f>
        <v/>
      </c>
      <c r="AC380" t="str">
        <f>IF('10 - RECOVERY'!A52&lt;&gt;"",IF('10 - RECOVERY'!G52="","",'10 - RECOVERY'!G52),"")</f>
        <v/>
      </c>
      <c r="AD380" t="str">
        <f>IF('10 - RECOVERY'!A52&lt;&gt;"",IF('10 - RECOVERY'!H52="","",'10 - RECOVERY'!H52),"")</f>
        <v/>
      </c>
      <c r="AE380" t="str">
        <f>IF('10 - RECOVERY'!A52&lt;&gt;"",IF('10 - RECOVERY'!D52="","",'10 - RECOVERY'!D52),"")</f>
        <v/>
      </c>
      <c r="AF380" s="17" t="str">
        <f>IF('10 - RECOVERY'!A52&lt;&gt;"",IF('10 - RECOVERY'!E52="","",'10 - RECOVERY'!E52),"")</f>
        <v/>
      </c>
      <c r="AG380" t="str">
        <f>IF('10 - RECOVERY'!A52&lt;&gt;"",IF('10 - RECOVERY'!I52="","",'10 - RECOVERY'!I52),"")</f>
        <v/>
      </c>
      <c r="AH380" t="str">
        <f>IF('10 - RECOVERY'!A52&lt;&gt;"",IF('10 - RECOVERY'!J52="","",'10 - RECOVERY'!J52),"")</f>
        <v/>
      </c>
      <c r="AI380" t="str">
        <f>IF('10 - RECOVERY'!A52&lt;&gt;"",IF('10 - RECOVERY'!AL52="","",'10 - RECOVERY'!AL52),"")</f>
        <v/>
      </c>
      <c r="AJ380" t="str">
        <f>IF('10 - RECOVERY'!A52&lt;&gt;"","10 - RECOVERY row 52","")</f>
        <v/>
      </c>
      <c r="AK380">
        <f>IF(AND('10 - RECOVERY'!A52&lt;&gt;"",OR('10 - RECOVERY'!AL52&lt;&gt;"Closed",'10 - RECOVERY'!G52&lt;&gt;""),OR(AC380&lt;&gt;"",AD380&lt;&gt;"")),IF(Y380="Critical",1,IF(Y380="Review",2,3))*100000000+IF(ISNUMBER(AF380),AF380,99999)*1000+ROW(),999999999999)</f>
        <v>999999999999</v>
      </c>
      <c r="AL380">
        <f t="shared" si="38"/>
        <v>999999999999</v>
      </c>
      <c r="AM380">
        <f t="shared" si="42"/>
        <v>999999999999</v>
      </c>
      <c r="AN380">
        <f t="shared" si="41"/>
        <v>999999999999</v>
      </c>
      <c r="AO380">
        <f t="shared" si="39"/>
        <v>999999999999</v>
      </c>
      <c r="AP380">
        <f t="shared" si="37"/>
        <v>999999999999</v>
      </c>
      <c r="AQ380">
        <f t="shared" si="36"/>
        <v>999999999999</v>
      </c>
      <c r="AR380">
        <f t="shared" si="40"/>
        <v>0</v>
      </c>
    </row>
    <row r="381" spans="25:44">
      <c r="Y381" t="str">
        <f>IF('10 - RECOVERY'!A53&lt;&gt;"",IF('10 - RECOVERY'!F53="","",'10 - RECOVERY'!F53),"")</f>
        <v/>
      </c>
      <c r="Z381" t="str">
        <f>IF('10 - RECOVERY'!A53&lt;&gt;"","Recovery","")</f>
        <v/>
      </c>
      <c r="AA381" t="str">
        <f>IF('10 - RECOVERY'!A53&lt;&gt;"",IF('10 - RECOVERY'!A53="","",'10 - RECOVERY'!A53),"")</f>
        <v/>
      </c>
      <c r="AB381" t="str">
        <f>IF('10 - RECOVERY'!A53&lt;&gt;"",IF('10 - RECOVERY'!B53="","",'10 - RECOVERY'!B53),"")</f>
        <v/>
      </c>
      <c r="AC381" t="str">
        <f>IF('10 - RECOVERY'!A53&lt;&gt;"",IF('10 - RECOVERY'!G53="","",'10 - RECOVERY'!G53),"")</f>
        <v/>
      </c>
      <c r="AD381" t="str">
        <f>IF('10 - RECOVERY'!A53&lt;&gt;"",IF('10 - RECOVERY'!H53="","",'10 - RECOVERY'!H53),"")</f>
        <v/>
      </c>
      <c r="AE381" t="str">
        <f>IF('10 - RECOVERY'!A53&lt;&gt;"",IF('10 - RECOVERY'!D53="","",'10 - RECOVERY'!D53),"")</f>
        <v/>
      </c>
      <c r="AF381" s="17" t="str">
        <f>IF('10 - RECOVERY'!A53&lt;&gt;"",IF('10 - RECOVERY'!E53="","",'10 - RECOVERY'!E53),"")</f>
        <v/>
      </c>
      <c r="AG381" t="str">
        <f>IF('10 - RECOVERY'!A53&lt;&gt;"",IF('10 - RECOVERY'!I53="","",'10 - RECOVERY'!I53),"")</f>
        <v/>
      </c>
      <c r="AH381" t="str">
        <f>IF('10 - RECOVERY'!A53&lt;&gt;"",IF('10 - RECOVERY'!J53="","",'10 - RECOVERY'!J53),"")</f>
        <v/>
      </c>
      <c r="AI381" t="str">
        <f>IF('10 - RECOVERY'!A53&lt;&gt;"",IF('10 - RECOVERY'!AL53="","",'10 - RECOVERY'!AL53),"")</f>
        <v/>
      </c>
      <c r="AJ381" t="str">
        <f>IF('10 - RECOVERY'!A53&lt;&gt;"","10 - RECOVERY row 53","")</f>
        <v/>
      </c>
      <c r="AK381">
        <f>IF(AND('10 - RECOVERY'!A53&lt;&gt;"",OR('10 - RECOVERY'!AL53&lt;&gt;"Closed",'10 - RECOVERY'!G53&lt;&gt;""),OR(AC381&lt;&gt;"",AD381&lt;&gt;"")),IF(Y381="Critical",1,IF(Y381="Review",2,3))*100000000+IF(ISNUMBER(AF381),AF381,99999)*1000+ROW(),999999999999)</f>
        <v>999999999999</v>
      </c>
      <c r="AL381">
        <f t="shared" si="38"/>
        <v>999999999999</v>
      </c>
      <c r="AM381">
        <f t="shared" si="42"/>
        <v>999999999999</v>
      </c>
      <c r="AN381">
        <f t="shared" si="41"/>
        <v>999999999999</v>
      </c>
      <c r="AO381">
        <f t="shared" si="39"/>
        <v>999999999999</v>
      </c>
      <c r="AP381">
        <f t="shared" si="37"/>
        <v>999999999999</v>
      </c>
      <c r="AQ381">
        <f t="shared" si="36"/>
        <v>999999999999</v>
      </c>
      <c r="AR381">
        <f t="shared" si="40"/>
        <v>0</v>
      </c>
    </row>
    <row r="382" spans="25:44">
      <c r="Y382" t="str">
        <f>IF('10 - RECOVERY'!A54&lt;&gt;"",IF('10 - RECOVERY'!F54="","",'10 - RECOVERY'!F54),"")</f>
        <v/>
      </c>
      <c r="Z382" t="str">
        <f>IF('10 - RECOVERY'!A54&lt;&gt;"","Recovery","")</f>
        <v/>
      </c>
      <c r="AA382" t="str">
        <f>IF('10 - RECOVERY'!A54&lt;&gt;"",IF('10 - RECOVERY'!A54="","",'10 - RECOVERY'!A54),"")</f>
        <v/>
      </c>
      <c r="AB382" t="str">
        <f>IF('10 - RECOVERY'!A54&lt;&gt;"",IF('10 - RECOVERY'!B54="","",'10 - RECOVERY'!B54),"")</f>
        <v/>
      </c>
      <c r="AC382" t="str">
        <f>IF('10 - RECOVERY'!A54&lt;&gt;"",IF('10 - RECOVERY'!G54="","",'10 - RECOVERY'!G54),"")</f>
        <v/>
      </c>
      <c r="AD382" t="str">
        <f>IF('10 - RECOVERY'!A54&lt;&gt;"",IF('10 - RECOVERY'!H54="","",'10 - RECOVERY'!H54),"")</f>
        <v/>
      </c>
      <c r="AE382" t="str">
        <f>IF('10 - RECOVERY'!A54&lt;&gt;"",IF('10 - RECOVERY'!D54="","",'10 - RECOVERY'!D54),"")</f>
        <v/>
      </c>
      <c r="AF382" s="17" t="str">
        <f>IF('10 - RECOVERY'!A54&lt;&gt;"",IF('10 - RECOVERY'!E54="","",'10 - RECOVERY'!E54),"")</f>
        <v/>
      </c>
      <c r="AG382" t="str">
        <f>IF('10 - RECOVERY'!A54&lt;&gt;"",IF('10 - RECOVERY'!I54="","",'10 - RECOVERY'!I54),"")</f>
        <v/>
      </c>
      <c r="AH382" t="str">
        <f>IF('10 - RECOVERY'!A54&lt;&gt;"",IF('10 - RECOVERY'!J54="","",'10 - RECOVERY'!J54),"")</f>
        <v/>
      </c>
      <c r="AI382" t="str">
        <f>IF('10 - RECOVERY'!A54&lt;&gt;"",IF('10 - RECOVERY'!AL54="","",'10 - RECOVERY'!AL54),"")</f>
        <v/>
      </c>
      <c r="AJ382" t="str">
        <f>IF('10 - RECOVERY'!A54&lt;&gt;"","10 - RECOVERY row 54","")</f>
        <v/>
      </c>
      <c r="AK382">
        <f>IF(AND('10 - RECOVERY'!A54&lt;&gt;"",OR('10 - RECOVERY'!AL54&lt;&gt;"Closed",'10 - RECOVERY'!G54&lt;&gt;""),OR(AC382&lt;&gt;"",AD382&lt;&gt;"")),IF(Y382="Critical",1,IF(Y382="Review",2,3))*100000000+IF(ISNUMBER(AF382),AF382,99999)*1000+ROW(),999999999999)</f>
        <v>999999999999</v>
      </c>
      <c r="AL382">
        <f t="shared" si="38"/>
        <v>999999999999</v>
      </c>
      <c r="AM382">
        <f t="shared" si="42"/>
        <v>999999999999</v>
      </c>
      <c r="AN382">
        <f t="shared" si="41"/>
        <v>999999999999</v>
      </c>
      <c r="AO382">
        <f t="shared" si="39"/>
        <v>999999999999</v>
      </c>
      <c r="AP382">
        <f t="shared" si="37"/>
        <v>999999999999</v>
      </c>
      <c r="AQ382">
        <f t="shared" si="36"/>
        <v>999999999999</v>
      </c>
      <c r="AR382">
        <f t="shared" si="40"/>
        <v>0</v>
      </c>
    </row>
    <row r="383" spans="25:44">
      <c r="Y383" t="str">
        <f>IF('10 - RECOVERY'!A55&lt;&gt;"",IF('10 - RECOVERY'!F55="","",'10 - RECOVERY'!F55),"")</f>
        <v/>
      </c>
      <c r="Z383" t="str">
        <f>IF('10 - RECOVERY'!A55&lt;&gt;"","Recovery","")</f>
        <v/>
      </c>
      <c r="AA383" t="str">
        <f>IF('10 - RECOVERY'!A55&lt;&gt;"",IF('10 - RECOVERY'!A55="","",'10 - RECOVERY'!A55),"")</f>
        <v/>
      </c>
      <c r="AB383" t="str">
        <f>IF('10 - RECOVERY'!A55&lt;&gt;"",IF('10 - RECOVERY'!B55="","",'10 - RECOVERY'!B55),"")</f>
        <v/>
      </c>
      <c r="AC383" t="str">
        <f>IF('10 - RECOVERY'!A55&lt;&gt;"",IF('10 - RECOVERY'!G55="","",'10 - RECOVERY'!G55),"")</f>
        <v/>
      </c>
      <c r="AD383" t="str">
        <f>IF('10 - RECOVERY'!A55&lt;&gt;"",IF('10 - RECOVERY'!H55="","",'10 - RECOVERY'!H55),"")</f>
        <v/>
      </c>
      <c r="AE383" t="str">
        <f>IF('10 - RECOVERY'!A55&lt;&gt;"",IF('10 - RECOVERY'!D55="","",'10 - RECOVERY'!D55),"")</f>
        <v/>
      </c>
      <c r="AF383" s="17" t="str">
        <f>IF('10 - RECOVERY'!A55&lt;&gt;"",IF('10 - RECOVERY'!E55="","",'10 - RECOVERY'!E55),"")</f>
        <v/>
      </c>
      <c r="AG383" t="str">
        <f>IF('10 - RECOVERY'!A55&lt;&gt;"",IF('10 - RECOVERY'!I55="","",'10 - RECOVERY'!I55),"")</f>
        <v/>
      </c>
      <c r="AH383" t="str">
        <f>IF('10 - RECOVERY'!A55&lt;&gt;"",IF('10 - RECOVERY'!J55="","",'10 - RECOVERY'!J55),"")</f>
        <v/>
      </c>
      <c r="AI383" t="str">
        <f>IF('10 - RECOVERY'!A55&lt;&gt;"",IF('10 - RECOVERY'!AL55="","",'10 - RECOVERY'!AL55),"")</f>
        <v/>
      </c>
      <c r="AJ383" t="str">
        <f>IF('10 - RECOVERY'!A55&lt;&gt;"","10 - RECOVERY row 55","")</f>
        <v/>
      </c>
      <c r="AK383">
        <f>IF(AND('10 - RECOVERY'!A55&lt;&gt;"",OR('10 - RECOVERY'!AL55&lt;&gt;"Closed",'10 - RECOVERY'!G55&lt;&gt;""),OR(AC383&lt;&gt;"",AD383&lt;&gt;"")),IF(Y383="Critical",1,IF(Y383="Review",2,3))*100000000+IF(ISNUMBER(AF383),AF383,99999)*1000+ROW(),999999999999)</f>
        <v>999999999999</v>
      </c>
      <c r="AL383">
        <f t="shared" si="38"/>
        <v>999999999999</v>
      </c>
      <c r="AM383">
        <f t="shared" si="42"/>
        <v>999999999999</v>
      </c>
      <c r="AN383">
        <f t="shared" ref="AN383:AN414" si="43">IF(AND(ISNUMBER(AK383),FALSE),AK383,999999999999)</f>
        <v>999999999999</v>
      </c>
      <c r="AO383">
        <f t="shared" si="39"/>
        <v>999999999999</v>
      </c>
      <c r="AP383">
        <f t="shared" si="37"/>
        <v>999999999999</v>
      </c>
      <c r="AQ383">
        <f t="shared" si="36"/>
        <v>999999999999</v>
      </c>
      <c r="AR383">
        <f t="shared" si="40"/>
        <v>0</v>
      </c>
    </row>
    <row r="384" spans="25:44">
      <c r="Y384" t="str">
        <f>IF('10 - RECOVERY'!A56&lt;&gt;"",IF('10 - RECOVERY'!F56="","",'10 - RECOVERY'!F56),"")</f>
        <v/>
      </c>
      <c r="Z384" t="str">
        <f>IF('10 - RECOVERY'!A56&lt;&gt;"","Recovery","")</f>
        <v/>
      </c>
      <c r="AA384" t="str">
        <f>IF('10 - RECOVERY'!A56&lt;&gt;"",IF('10 - RECOVERY'!A56="","",'10 - RECOVERY'!A56),"")</f>
        <v/>
      </c>
      <c r="AB384" t="str">
        <f>IF('10 - RECOVERY'!A56&lt;&gt;"",IF('10 - RECOVERY'!B56="","",'10 - RECOVERY'!B56),"")</f>
        <v/>
      </c>
      <c r="AC384" t="str">
        <f>IF('10 - RECOVERY'!A56&lt;&gt;"",IF('10 - RECOVERY'!G56="","",'10 - RECOVERY'!G56),"")</f>
        <v/>
      </c>
      <c r="AD384" t="str">
        <f>IF('10 - RECOVERY'!A56&lt;&gt;"",IF('10 - RECOVERY'!H56="","",'10 - RECOVERY'!H56),"")</f>
        <v/>
      </c>
      <c r="AE384" t="str">
        <f>IF('10 - RECOVERY'!A56&lt;&gt;"",IF('10 - RECOVERY'!D56="","",'10 - RECOVERY'!D56),"")</f>
        <v/>
      </c>
      <c r="AF384" s="17" t="str">
        <f>IF('10 - RECOVERY'!A56&lt;&gt;"",IF('10 - RECOVERY'!E56="","",'10 - RECOVERY'!E56),"")</f>
        <v/>
      </c>
      <c r="AG384" t="str">
        <f>IF('10 - RECOVERY'!A56&lt;&gt;"",IF('10 - RECOVERY'!I56="","",'10 - RECOVERY'!I56),"")</f>
        <v/>
      </c>
      <c r="AH384" t="str">
        <f>IF('10 - RECOVERY'!A56&lt;&gt;"",IF('10 - RECOVERY'!J56="","",'10 - RECOVERY'!J56),"")</f>
        <v/>
      </c>
      <c r="AI384" t="str">
        <f>IF('10 - RECOVERY'!A56&lt;&gt;"",IF('10 - RECOVERY'!AL56="","",'10 - RECOVERY'!AL56),"")</f>
        <v/>
      </c>
      <c r="AJ384" t="str">
        <f>IF('10 - RECOVERY'!A56&lt;&gt;"","10 - RECOVERY row 56","")</f>
        <v/>
      </c>
      <c r="AK384">
        <f>IF(AND('10 - RECOVERY'!A56&lt;&gt;"",OR('10 - RECOVERY'!AL56&lt;&gt;"Closed",'10 - RECOVERY'!G56&lt;&gt;""),OR(AC384&lt;&gt;"",AD384&lt;&gt;"")),IF(Y384="Critical",1,IF(Y384="Review",2,3))*100000000+IF(ISNUMBER(AF384),AF384,99999)*1000+ROW(),999999999999)</f>
        <v>999999999999</v>
      </c>
      <c r="AL384">
        <f t="shared" si="38"/>
        <v>999999999999</v>
      </c>
      <c r="AM384">
        <f t="shared" si="42"/>
        <v>999999999999</v>
      </c>
      <c r="AN384">
        <f t="shared" si="43"/>
        <v>999999999999</v>
      </c>
      <c r="AO384">
        <f t="shared" si="39"/>
        <v>999999999999</v>
      </c>
      <c r="AP384">
        <f t="shared" si="37"/>
        <v>999999999999</v>
      </c>
      <c r="AQ384">
        <f t="shared" si="36"/>
        <v>999999999999</v>
      </c>
      <c r="AR384">
        <f t="shared" si="40"/>
        <v>0</v>
      </c>
    </row>
    <row r="385" spans="25:44">
      <c r="Y385" t="str">
        <f>IF('10 - RECOVERY'!A57&lt;&gt;"",IF('10 - RECOVERY'!F57="","",'10 - RECOVERY'!F57),"")</f>
        <v/>
      </c>
      <c r="Z385" t="str">
        <f>IF('10 - RECOVERY'!A57&lt;&gt;"","Recovery","")</f>
        <v/>
      </c>
      <c r="AA385" t="str">
        <f>IF('10 - RECOVERY'!A57&lt;&gt;"",IF('10 - RECOVERY'!A57="","",'10 - RECOVERY'!A57),"")</f>
        <v/>
      </c>
      <c r="AB385" t="str">
        <f>IF('10 - RECOVERY'!A57&lt;&gt;"",IF('10 - RECOVERY'!B57="","",'10 - RECOVERY'!B57),"")</f>
        <v/>
      </c>
      <c r="AC385" t="str">
        <f>IF('10 - RECOVERY'!A57&lt;&gt;"",IF('10 - RECOVERY'!G57="","",'10 - RECOVERY'!G57),"")</f>
        <v/>
      </c>
      <c r="AD385" t="str">
        <f>IF('10 - RECOVERY'!A57&lt;&gt;"",IF('10 - RECOVERY'!H57="","",'10 - RECOVERY'!H57),"")</f>
        <v/>
      </c>
      <c r="AE385" t="str">
        <f>IF('10 - RECOVERY'!A57&lt;&gt;"",IF('10 - RECOVERY'!D57="","",'10 - RECOVERY'!D57),"")</f>
        <v/>
      </c>
      <c r="AF385" s="17" t="str">
        <f>IF('10 - RECOVERY'!A57&lt;&gt;"",IF('10 - RECOVERY'!E57="","",'10 - RECOVERY'!E57),"")</f>
        <v/>
      </c>
      <c r="AG385" t="str">
        <f>IF('10 - RECOVERY'!A57&lt;&gt;"",IF('10 - RECOVERY'!I57="","",'10 - RECOVERY'!I57),"")</f>
        <v/>
      </c>
      <c r="AH385" t="str">
        <f>IF('10 - RECOVERY'!A57&lt;&gt;"",IF('10 - RECOVERY'!J57="","",'10 - RECOVERY'!J57),"")</f>
        <v/>
      </c>
      <c r="AI385" t="str">
        <f>IF('10 - RECOVERY'!A57&lt;&gt;"",IF('10 - RECOVERY'!AL57="","",'10 - RECOVERY'!AL57),"")</f>
        <v/>
      </c>
      <c r="AJ385" t="str">
        <f>IF('10 - RECOVERY'!A57&lt;&gt;"","10 - RECOVERY row 57","")</f>
        <v/>
      </c>
      <c r="AK385">
        <f>IF(AND('10 - RECOVERY'!A57&lt;&gt;"",OR('10 - RECOVERY'!AL57&lt;&gt;"Closed",'10 - RECOVERY'!G57&lt;&gt;""),OR(AC385&lt;&gt;"",AD385&lt;&gt;"")),IF(Y385="Critical",1,IF(Y385="Review",2,3))*100000000+IF(ISNUMBER(AF385),AF385,99999)*1000+ROW(),999999999999)</f>
        <v>999999999999</v>
      </c>
      <c r="AL385">
        <f t="shared" si="38"/>
        <v>999999999999</v>
      </c>
      <c r="AM385">
        <f t="shared" si="42"/>
        <v>999999999999</v>
      </c>
      <c r="AN385">
        <f t="shared" si="43"/>
        <v>999999999999</v>
      </c>
      <c r="AO385">
        <f t="shared" si="39"/>
        <v>999999999999</v>
      </c>
      <c r="AP385">
        <f t="shared" si="37"/>
        <v>999999999999</v>
      </c>
      <c r="AQ385">
        <f t="shared" si="36"/>
        <v>999999999999</v>
      </c>
      <c r="AR385">
        <f t="shared" si="40"/>
        <v>0</v>
      </c>
    </row>
    <row r="386" spans="25:44">
      <c r="Y386" t="str">
        <f>IF('10 - RECOVERY'!A58&lt;&gt;"",IF('10 - RECOVERY'!F58="","",'10 - RECOVERY'!F58),"")</f>
        <v/>
      </c>
      <c r="Z386" t="str">
        <f>IF('10 - RECOVERY'!A58&lt;&gt;"","Recovery","")</f>
        <v/>
      </c>
      <c r="AA386" t="str">
        <f>IF('10 - RECOVERY'!A58&lt;&gt;"",IF('10 - RECOVERY'!A58="","",'10 - RECOVERY'!A58),"")</f>
        <v/>
      </c>
      <c r="AB386" t="str">
        <f>IF('10 - RECOVERY'!A58&lt;&gt;"",IF('10 - RECOVERY'!B58="","",'10 - RECOVERY'!B58),"")</f>
        <v/>
      </c>
      <c r="AC386" t="str">
        <f>IF('10 - RECOVERY'!A58&lt;&gt;"",IF('10 - RECOVERY'!G58="","",'10 - RECOVERY'!G58),"")</f>
        <v/>
      </c>
      <c r="AD386" t="str">
        <f>IF('10 - RECOVERY'!A58&lt;&gt;"",IF('10 - RECOVERY'!H58="","",'10 - RECOVERY'!H58),"")</f>
        <v/>
      </c>
      <c r="AE386" t="str">
        <f>IF('10 - RECOVERY'!A58&lt;&gt;"",IF('10 - RECOVERY'!D58="","",'10 - RECOVERY'!D58),"")</f>
        <v/>
      </c>
      <c r="AF386" s="17" t="str">
        <f>IF('10 - RECOVERY'!A58&lt;&gt;"",IF('10 - RECOVERY'!E58="","",'10 - RECOVERY'!E58),"")</f>
        <v/>
      </c>
      <c r="AG386" t="str">
        <f>IF('10 - RECOVERY'!A58&lt;&gt;"",IF('10 - RECOVERY'!I58="","",'10 - RECOVERY'!I58),"")</f>
        <v/>
      </c>
      <c r="AH386" t="str">
        <f>IF('10 - RECOVERY'!A58&lt;&gt;"",IF('10 - RECOVERY'!J58="","",'10 - RECOVERY'!J58),"")</f>
        <v/>
      </c>
      <c r="AI386" t="str">
        <f>IF('10 - RECOVERY'!A58&lt;&gt;"",IF('10 - RECOVERY'!AL58="","",'10 - RECOVERY'!AL58),"")</f>
        <v/>
      </c>
      <c r="AJ386" t="str">
        <f>IF('10 - RECOVERY'!A58&lt;&gt;"","10 - RECOVERY row 58","")</f>
        <v/>
      </c>
      <c r="AK386">
        <f>IF(AND('10 - RECOVERY'!A58&lt;&gt;"",OR('10 - RECOVERY'!AL58&lt;&gt;"Closed",'10 - RECOVERY'!G58&lt;&gt;""),OR(AC386&lt;&gt;"",AD386&lt;&gt;"")),IF(Y386="Critical",1,IF(Y386="Review",2,3))*100000000+IF(ISNUMBER(AF386),AF386,99999)*1000+ROW(),999999999999)</f>
        <v>999999999999</v>
      </c>
      <c r="AL386">
        <f t="shared" si="38"/>
        <v>999999999999</v>
      </c>
      <c r="AM386">
        <f t="shared" si="42"/>
        <v>999999999999</v>
      </c>
      <c r="AN386">
        <f t="shared" si="43"/>
        <v>999999999999</v>
      </c>
      <c r="AO386">
        <f t="shared" si="39"/>
        <v>999999999999</v>
      </c>
      <c r="AP386">
        <f t="shared" si="37"/>
        <v>999999999999</v>
      </c>
      <c r="AQ386">
        <f t="shared" si="36"/>
        <v>999999999999</v>
      </c>
      <c r="AR386">
        <f t="shared" si="40"/>
        <v>0</v>
      </c>
    </row>
    <row r="387" spans="25:44">
      <c r="Y387" t="str">
        <f>IF('15 - AI DELEGATION'!A9&lt;&gt;"",IF('15 - AI DELEGATION'!F9="","",'15 - AI DELEGATION'!F9),"")</f>
        <v>Routine</v>
      </c>
      <c r="Z387" t="str">
        <f>IF('15 - AI DELEGATION'!A9&lt;&gt;"","AI delegation","")</f>
        <v>AI delegation</v>
      </c>
      <c r="AA387" t="str">
        <f>IF('15 - AI DELEGATION'!A9&lt;&gt;"",IF('15 - AI DELEGATION'!A9="","",'15 - AI DELEGATION'!A9),"")</f>
        <v>AI-01</v>
      </c>
      <c r="AB387" t="str">
        <f>IF('15 - AI DELEGATION'!A9&lt;&gt;"",IF('15 - AI DELEGATION'!B9="","",'15 - AI DELEGATION'!B9),"")</f>
        <v>Draft weekly migration status</v>
      </c>
      <c r="AC387" t="str">
        <f>IF('15 - AI DELEGATION'!A9&lt;&gt;"",IF('15 - AI DELEGATION'!G9="","",'15 - AI DELEGATION'!G9),"")</f>
        <v/>
      </c>
      <c r="AD387" t="str">
        <f>IF('15 - AI DELEGATION'!A9&lt;&gt;"",IF('15 - AI DELEGATION'!H9="","",'15 - AI DELEGATION'!H9),"")</f>
        <v/>
      </c>
      <c r="AE387" t="str">
        <f>IF('15 - AI DELEGATION'!A9&lt;&gt;"",IF('15 - AI DELEGATION'!D9="","",'15 - AI DELEGATION'!D9),"")</f>
        <v>Programme manager</v>
      </c>
      <c r="AF387" s="17">
        <f>IF('15 - AI DELEGATION'!A9&lt;&gt;"",IF('15 - AI DELEGATION'!E9="","",'15 - AI DELEGATION'!E9),"")</f>
        <v>46295</v>
      </c>
      <c r="AG387" t="str">
        <f>IF('15 - AI DELEGATION'!A9&lt;&gt;"",IF('15 - AI DELEGATION'!I9="","",'15 - AI DELEGATION'!I9),"")</f>
        <v>Incorrect evidence could mislead release decision</v>
      </c>
      <c r="AH387" t="str">
        <f>IF('15 - AI DELEGATION'!A9&lt;&gt;"",IF('15 - AI DELEGATION'!J9="","",'15 - AI DELEGATION'!J9),"")</f>
        <v>Source version and date for every material statement</v>
      </c>
      <c r="AI387" t="str">
        <f>IF('15 - AI DELEGATION'!A9&lt;&gt;"",IF('15 - AI DELEGATION'!C9="","",'15 - AI DELEGATION'!C9),"")</f>
        <v>In progress</v>
      </c>
      <c r="AJ387" t="str">
        <f>IF('15 - AI DELEGATION'!A9&lt;&gt;"","15 - AI DELEGATION row 9","")</f>
        <v>15 - AI DELEGATION row 9</v>
      </c>
      <c r="AK387">
        <f>IF(AND('15 - AI DELEGATION'!A9&lt;&gt;"",OR('15 - AI DELEGATION'!C9&lt;&gt;"Closed",'15 - AI DELEGATION'!G9&lt;&gt;""),OR(AC387&lt;&gt;"",AD387&lt;&gt;"")),IF(Y387="Critical",1,IF(Y387="Review",2,3))*100000000+IF(ISNUMBER(AF387),AF387,99999)*1000+ROW(),999999999999)</f>
        <v>999999999999</v>
      </c>
      <c r="AL387">
        <f t="shared" si="38"/>
        <v>999999999999</v>
      </c>
      <c r="AM387">
        <f t="shared" si="42"/>
        <v>999999999999</v>
      </c>
      <c r="AN387">
        <f t="shared" si="43"/>
        <v>999999999999</v>
      </c>
      <c r="AO387">
        <f t="shared" si="39"/>
        <v>46295387</v>
      </c>
      <c r="AP387">
        <f t="shared" si="37"/>
        <v>999999999999</v>
      </c>
      <c r="AQ387">
        <f t="shared" si="36"/>
        <v>999999999999</v>
      </c>
      <c r="AR387">
        <f t="shared" si="40"/>
        <v>0</v>
      </c>
    </row>
    <row r="388" spans="25:44">
      <c r="Y388" t="str">
        <f>IF('15 - AI DELEGATION'!A10&lt;&gt;"",IF('15 - AI DELEGATION'!F10="","",'15 - AI DELEGATION'!F10),"")</f>
        <v/>
      </c>
      <c r="Z388" t="str">
        <f>IF('15 - AI DELEGATION'!A10&lt;&gt;"","AI delegation","")</f>
        <v/>
      </c>
      <c r="AA388" t="str">
        <f>IF('15 - AI DELEGATION'!A10&lt;&gt;"",IF('15 - AI DELEGATION'!A10="","",'15 - AI DELEGATION'!A10),"")</f>
        <v/>
      </c>
      <c r="AB388" t="str">
        <f>IF('15 - AI DELEGATION'!A10&lt;&gt;"",IF('15 - AI DELEGATION'!B10="","",'15 - AI DELEGATION'!B10),"")</f>
        <v/>
      </c>
      <c r="AC388" t="str">
        <f>IF('15 - AI DELEGATION'!A10&lt;&gt;"",IF('15 - AI DELEGATION'!G10="","",'15 - AI DELEGATION'!G10),"")</f>
        <v/>
      </c>
      <c r="AD388" t="str">
        <f>IF('15 - AI DELEGATION'!A10&lt;&gt;"",IF('15 - AI DELEGATION'!H10="","",'15 - AI DELEGATION'!H10),"")</f>
        <v/>
      </c>
      <c r="AE388" t="str">
        <f>IF('15 - AI DELEGATION'!A10&lt;&gt;"",IF('15 - AI DELEGATION'!D10="","",'15 - AI DELEGATION'!D10),"")</f>
        <v/>
      </c>
      <c r="AF388" s="17" t="str">
        <f>IF('15 - AI DELEGATION'!A10&lt;&gt;"",IF('15 - AI DELEGATION'!E10="","",'15 - AI DELEGATION'!E10),"")</f>
        <v/>
      </c>
      <c r="AG388" t="str">
        <f>IF('15 - AI DELEGATION'!A10&lt;&gt;"",IF('15 - AI DELEGATION'!I10="","",'15 - AI DELEGATION'!I10),"")</f>
        <v/>
      </c>
      <c r="AH388" t="str">
        <f>IF('15 - AI DELEGATION'!A10&lt;&gt;"",IF('15 - AI DELEGATION'!J10="","",'15 - AI DELEGATION'!J10),"")</f>
        <v/>
      </c>
      <c r="AI388" t="str">
        <f>IF('15 - AI DELEGATION'!A10&lt;&gt;"",IF('15 - AI DELEGATION'!C10="","",'15 - AI DELEGATION'!C10),"")</f>
        <v/>
      </c>
      <c r="AJ388" t="str">
        <f>IF('15 - AI DELEGATION'!A10&lt;&gt;"","15 - AI DELEGATION row 10","")</f>
        <v/>
      </c>
      <c r="AK388">
        <f>IF(AND('15 - AI DELEGATION'!A10&lt;&gt;"",OR('15 - AI DELEGATION'!C10&lt;&gt;"Closed",'15 - AI DELEGATION'!G10&lt;&gt;""),OR(AC388&lt;&gt;"",AD388&lt;&gt;"")),IF(Y388="Critical",1,IF(Y388="Review",2,3))*100000000+IF(ISNUMBER(AF388),AF388,99999)*1000+ROW(),999999999999)</f>
        <v>999999999999</v>
      </c>
      <c r="AL388">
        <f t="shared" si="38"/>
        <v>999999999999</v>
      </c>
      <c r="AM388">
        <f t="shared" si="42"/>
        <v>999999999999</v>
      </c>
      <c r="AN388">
        <f t="shared" si="43"/>
        <v>999999999999</v>
      </c>
      <c r="AO388">
        <f t="shared" si="39"/>
        <v>999999999999</v>
      </c>
      <c r="AP388">
        <f t="shared" si="37"/>
        <v>999999999999</v>
      </c>
      <c r="AQ388">
        <f t="shared" si="36"/>
        <v>999999999999</v>
      </c>
      <c r="AR388">
        <f t="shared" si="40"/>
        <v>0</v>
      </c>
    </row>
    <row r="389" spans="25:44">
      <c r="Y389" t="str">
        <f>IF('15 - AI DELEGATION'!A11&lt;&gt;"",IF('15 - AI DELEGATION'!F11="","",'15 - AI DELEGATION'!F11),"")</f>
        <v/>
      </c>
      <c r="Z389" t="str">
        <f>IF('15 - AI DELEGATION'!A11&lt;&gt;"","AI delegation","")</f>
        <v/>
      </c>
      <c r="AA389" t="str">
        <f>IF('15 - AI DELEGATION'!A11&lt;&gt;"",IF('15 - AI DELEGATION'!A11="","",'15 - AI DELEGATION'!A11),"")</f>
        <v/>
      </c>
      <c r="AB389" t="str">
        <f>IF('15 - AI DELEGATION'!A11&lt;&gt;"",IF('15 - AI DELEGATION'!B11="","",'15 - AI DELEGATION'!B11),"")</f>
        <v/>
      </c>
      <c r="AC389" t="str">
        <f>IF('15 - AI DELEGATION'!A11&lt;&gt;"",IF('15 - AI DELEGATION'!G11="","",'15 - AI DELEGATION'!G11),"")</f>
        <v/>
      </c>
      <c r="AD389" t="str">
        <f>IF('15 - AI DELEGATION'!A11&lt;&gt;"",IF('15 - AI DELEGATION'!H11="","",'15 - AI DELEGATION'!H11),"")</f>
        <v/>
      </c>
      <c r="AE389" t="str">
        <f>IF('15 - AI DELEGATION'!A11&lt;&gt;"",IF('15 - AI DELEGATION'!D11="","",'15 - AI DELEGATION'!D11),"")</f>
        <v/>
      </c>
      <c r="AF389" s="17" t="str">
        <f>IF('15 - AI DELEGATION'!A11&lt;&gt;"",IF('15 - AI DELEGATION'!E11="","",'15 - AI DELEGATION'!E11),"")</f>
        <v/>
      </c>
      <c r="AG389" t="str">
        <f>IF('15 - AI DELEGATION'!A11&lt;&gt;"",IF('15 - AI DELEGATION'!I11="","",'15 - AI DELEGATION'!I11),"")</f>
        <v/>
      </c>
      <c r="AH389" t="str">
        <f>IF('15 - AI DELEGATION'!A11&lt;&gt;"",IF('15 - AI DELEGATION'!J11="","",'15 - AI DELEGATION'!J11),"")</f>
        <v/>
      </c>
      <c r="AI389" t="str">
        <f>IF('15 - AI DELEGATION'!A11&lt;&gt;"",IF('15 - AI DELEGATION'!C11="","",'15 - AI DELEGATION'!C11),"")</f>
        <v/>
      </c>
      <c r="AJ389" t="str">
        <f>IF('15 - AI DELEGATION'!A11&lt;&gt;"","15 - AI DELEGATION row 11","")</f>
        <v/>
      </c>
      <c r="AK389">
        <f>IF(AND('15 - AI DELEGATION'!A11&lt;&gt;"",OR('15 - AI DELEGATION'!C11&lt;&gt;"Closed",'15 - AI DELEGATION'!G11&lt;&gt;""),OR(AC389&lt;&gt;"",AD389&lt;&gt;"")),IF(Y389="Critical",1,IF(Y389="Review",2,3))*100000000+IF(ISNUMBER(AF389),AF389,99999)*1000+ROW(),999999999999)</f>
        <v>999999999999</v>
      </c>
      <c r="AL389">
        <f t="shared" si="38"/>
        <v>999999999999</v>
      </c>
      <c r="AM389">
        <f t="shared" si="42"/>
        <v>999999999999</v>
      </c>
      <c r="AN389">
        <f t="shared" si="43"/>
        <v>999999999999</v>
      </c>
      <c r="AO389">
        <f t="shared" si="39"/>
        <v>999999999999</v>
      </c>
      <c r="AP389">
        <f t="shared" si="37"/>
        <v>999999999999</v>
      </c>
      <c r="AQ389">
        <f t="shared" si="36"/>
        <v>999999999999</v>
      </c>
      <c r="AR389">
        <f t="shared" si="40"/>
        <v>0</v>
      </c>
    </row>
    <row r="390" spans="25:44">
      <c r="Y390" t="str">
        <f>IF('15 - AI DELEGATION'!A12&lt;&gt;"",IF('15 - AI DELEGATION'!F12="","",'15 - AI DELEGATION'!F12),"")</f>
        <v/>
      </c>
      <c r="Z390" t="str">
        <f>IF('15 - AI DELEGATION'!A12&lt;&gt;"","AI delegation","")</f>
        <v/>
      </c>
      <c r="AA390" t="str">
        <f>IF('15 - AI DELEGATION'!A12&lt;&gt;"",IF('15 - AI DELEGATION'!A12="","",'15 - AI DELEGATION'!A12),"")</f>
        <v/>
      </c>
      <c r="AB390" t="str">
        <f>IF('15 - AI DELEGATION'!A12&lt;&gt;"",IF('15 - AI DELEGATION'!B12="","",'15 - AI DELEGATION'!B12),"")</f>
        <v/>
      </c>
      <c r="AC390" t="str">
        <f>IF('15 - AI DELEGATION'!A12&lt;&gt;"",IF('15 - AI DELEGATION'!G12="","",'15 - AI DELEGATION'!G12),"")</f>
        <v/>
      </c>
      <c r="AD390" t="str">
        <f>IF('15 - AI DELEGATION'!A12&lt;&gt;"",IF('15 - AI DELEGATION'!H12="","",'15 - AI DELEGATION'!H12),"")</f>
        <v/>
      </c>
      <c r="AE390" t="str">
        <f>IF('15 - AI DELEGATION'!A12&lt;&gt;"",IF('15 - AI DELEGATION'!D12="","",'15 - AI DELEGATION'!D12),"")</f>
        <v/>
      </c>
      <c r="AF390" s="17" t="str">
        <f>IF('15 - AI DELEGATION'!A12&lt;&gt;"",IF('15 - AI DELEGATION'!E12="","",'15 - AI DELEGATION'!E12),"")</f>
        <v/>
      </c>
      <c r="AG390" t="str">
        <f>IF('15 - AI DELEGATION'!A12&lt;&gt;"",IF('15 - AI DELEGATION'!I12="","",'15 - AI DELEGATION'!I12),"")</f>
        <v/>
      </c>
      <c r="AH390" t="str">
        <f>IF('15 - AI DELEGATION'!A12&lt;&gt;"",IF('15 - AI DELEGATION'!J12="","",'15 - AI DELEGATION'!J12),"")</f>
        <v/>
      </c>
      <c r="AI390" t="str">
        <f>IF('15 - AI DELEGATION'!A12&lt;&gt;"",IF('15 - AI DELEGATION'!C12="","",'15 - AI DELEGATION'!C12),"")</f>
        <v/>
      </c>
      <c r="AJ390" t="str">
        <f>IF('15 - AI DELEGATION'!A12&lt;&gt;"","15 - AI DELEGATION row 12","")</f>
        <v/>
      </c>
      <c r="AK390">
        <f>IF(AND('15 - AI DELEGATION'!A12&lt;&gt;"",OR('15 - AI DELEGATION'!C12&lt;&gt;"Closed",'15 - AI DELEGATION'!G12&lt;&gt;""),OR(AC390&lt;&gt;"",AD390&lt;&gt;"")),IF(Y390="Critical",1,IF(Y390="Review",2,3))*100000000+IF(ISNUMBER(AF390),AF390,99999)*1000+ROW(),999999999999)</f>
        <v>999999999999</v>
      </c>
      <c r="AL390">
        <f t="shared" si="38"/>
        <v>999999999999</v>
      </c>
      <c r="AM390">
        <f t="shared" si="42"/>
        <v>999999999999</v>
      </c>
      <c r="AN390">
        <f t="shared" si="43"/>
        <v>999999999999</v>
      </c>
      <c r="AO390">
        <f t="shared" si="39"/>
        <v>999999999999</v>
      </c>
      <c r="AP390">
        <f t="shared" si="37"/>
        <v>999999999999</v>
      </c>
      <c r="AQ390">
        <f t="shared" si="36"/>
        <v>999999999999</v>
      </c>
      <c r="AR390">
        <f t="shared" si="40"/>
        <v>0</v>
      </c>
    </row>
    <row r="391" spans="25:44">
      <c r="Y391" t="str">
        <f>IF('15 - AI DELEGATION'!A13&lt;&gt;"",IF('15 - AI DELEGATION'!F13="","",'15 - AI DELEGATION'!F13),"")</f>
        <v/>
      </c>
      <c r="Z391" t="str">
        <f>IF('15 - AI DELEGATION'!A13&lt;&gt;"","AI delegation","")</f>
        <v/>
      </c>
      <c r="AA391" t="str">
        <f>IF('15 - AI DELEGATION'!A13&lt;&gt;"",IF('15 - AI DELEGATION'!A13="","",'15 - AI DELEGATION'!A13),"")</f>
        <v/>
      </c>
      <c r="AB391" t="str">
        <f>IF('15 - AI DELEGATION'!A13&lt;&gt;"",IF('15 - AI DELEGATION'!B13="","",'15 - AI DELEGATION'!B13),"")</f>
        <v/>
      </c>
      <c r="AC391" t="str">
        <f>IF('15 - AI DELEGATION'!A13&lt;&gt;"",IF('15 - AI DELEGATION'!G13="","",'15 - AI DELEGATION'!G13),"")</f>
        <v/>
      </c>
      <c r="AD391" t="str">
        <f>IF('15 - AI DELEGATION'!A13&lt;&gt;"",IF('15 - AI DELEGATION'!H13="","",'15 - AI DELEGATION'!H13),"")</f>
        <v/>
      </c>
      <c r="AE391" t="str">
        <f>IF('15 - AI DELEGATION'!A13&lt;&gt;"",IF('15 - AI DELEGATION'!D13="","",'15 - AI DELEGATION'!D13),"")</f>
        <v/>
      </c>
      <c r="AF391" s="17" t="str">
        <f>IF('15 - AI DELEGATION'!A13&lt;&gt;"",IF('15 - AI DELEGATION'!E13="","",'15 - AI DELEGATION'!E13),"")</f>
        <v/>
      </c>
      <c r="AG391" t="str">
        <f>IF('15 - AI DELEGATION'!A13&lt;&gt;"",IF('15 - AI DELEGATION'!I13="","",'15 - AI DELEGATION'!I13),"")</f>
        <v/>
      </c>
      <c r="AH391" t="str">
        <f>IF('15 - AI DELEGATION'!A13&lt;&gt;"",IF('15 - AI DELEGATION'!J13="","",'15 - AI DELEGATION'!J13),"")</f>
        <v/>
      </c>
      <c r="AI391" t="str">
        <f>IF('15 - AI DELEGATION'!A13&lt;&gt;"",IF('15 - AI DELEGATION'!C13="","",'15 - AI DELEGATION'!C13),"")</f>
        <v/>
      </c>
      <c r="AJ391" t="str">
        <f>IF('15 - AI DELEGATION'!A13&lt;&gt;"","15 - AI DELEGATION row 13","")</f>
        <v/>
      </c>
      <c r="AK391">
        <f>IF(AND('15 - AI DELEGATION'!A13&lt;&gt;"",OR('15 - AI DELEGATION'!C13&lt;&gt;"Closed",'15 - AI DELEGATION'!G13&lt;&gt;""),OR(AC391&lt;&gt;"",AD391&lt;&gt;"")),IF(Y391="Critical",1,IF(Y391="Review",2,3))*100000000+IF(ISNUMBER(AF391),AF391,99999)*1000+ROW(),999999999999)</f>
        <v>999999999999</v>
      </c>
      <c r="AL391">
        <f t="shared" si="38"/>
        <v>999999999999</v>
      </c>
      <c r="AM391">
        <f t="shared" si="42"/>
        <v>999999999999</v>
      </c>
      <c r="AN391">
        <f t="shared" si="43"/>
        <v>999999999999</v>
      </c>
      <c r="AO391">
        <f t="shared" si="39"/>
        <v>999999999999</v>
      </c>
      <c r="AP391">
        <f t="shared" si="37"/>
        <v>999999999999</v>
      </c>
      <c r="AQ391">
        <f t="shared" si="36"/>
        <v>999999999999</v>
      </c>
      <c r="AR391">
        <f t="shared" si="40"/>
        <v>0</v>
      </c>
    </row>
    <row r="392" spans="25:44">
      <c r="Y392" t="str">
        <f>IF('15 - AI DELEGATION'!A14&lt;&gt;"",IF('15 - AI DELEGATION'!F14="","",'15 - AI DELEGATION'!F14),"")</f>
        <v/>
      </c>
      <c r="Z392" t="str">
        <f>IF('15 - AI DELEGATION'!A14&lt;&gt;"","AI delegation","")</f>
        <v/>
      </c>
      <c r="AA392" t="str">
        <f>IF('15 - AI DELEGATION'!A14&lt;&gt;"",IF('15 - AI DELEGATION'!A14="","",'15 - AI DELEGATION'!A14),"")</f>
        <v/>
      </c>
      <c r="AB392" t="str">
        <f>IF('15 - AI DELEGATION'!A14&lt;&gt;"",IF('15 - AI DELEGATION'!B14="","",'15 - AI DELEGATION'!B14),"")</f>
        <v/>
      </c>
      <c r="AC392" t="str">
        <f>IF('15 - AI DELEGATION'!A14&lt;&gt;"",IF('15 - AI DELEGATION'!G14="","",'15 - AI DELEGATION'!G14),"")</f>
        <v/>
      </c>
      <c r="AD392" t="str">
        <f>IF('15 - AI DELEGATION'!A14&lt;&gt;"",IF('15 - AI DELEGATION'!H14="","",'15 - AI DELEGATION'!H14),"")</f>
        <v/>
      </c>
      <c r="AE392" t="str">
        <f>IF('15 - AI DELEGATION'!A14&lt;&gt;"",IF('15 - AI DELEGATION'!D14="","",'15 - AI DELEGATION'!D14),"")</f>
        <v/>
      </c>
      <c r="AF392" s="17" t="str">
        <f>IF('15 - AI DELEGATION'!A14&lt;&gt;"",IF('15 - AI DELEGATION'!E14="","",'15 - AI DELEGATION'!E14),"")</f>
        <v/>
      </c>
      <c r="AG392" t="str">
        <f>IF('15 - AI DELEGATION'!A14&lt;&gt;"",IF('15 - AI DELEGATION'!I14="","",'15 - AI DELEGATION'!I14),"")</f>
        <v/>
      </c>
      <c r="AH392" t="str">
        <f>IF('15 - AI DELEGATION'!A14&lt;&gt;"",IF('15 - AI DELEGATION'!J14="","",'15 - AI DELEGATION'!J14),"")</f>
        <v/>
      </c>
      <c r="AI392" t="str">
        <f>IF('15 - AI DELEGATION'!A14&lt;&gt;"",IF('15 - AI DELEGATION'!C14="","",'15 - AI DELEGATION'!C14),"")</f>
        <v/>
      </c>
      <c r="AJ392" t="str">
        <f>IF('15 - AI DELEGATION'!A14&lt;&gt;"","15 - AI DELEGATION row 14","")</f>
        <v/>
      </c>
      <c r="AK392">
        <f>IF(AND('15 - AI DELEGATION'!A14&lt;&gt;"",OR('15 - AI DELEGATION'!C14&lt;&gt;"Closed",'15 - AI DELEGATION'!G14&lt;&gt;""),OR(AC392&lt;&gt;"",AD392&lt;&gt;"")),IF(Y392="Critical",1,IF(Y392="Review",2,3))*100000000+IF(ISNUMBER(AF392),AF392,99999)*1000+ROW(),999999999999)</f>
        <v>999999999999</v>
      </c>
      <c r="AL392">
        <f t="shared" si="38"/>
        <v>999999999999</v>
      </c>
      <c r="AM392">
        <f t="shared" si="42"/>
        <v>999999999999</v>
      </c>
      <c r="AN392">
        <f t="shared" si="43"/>
        <v>999999999999</v>
      </c>
      <c r="AO392">
        <f t="shared" si="39"/>
        <v>999999999999</v>
      </c>
      <c r="AP392">
        <f t="shared" si="37"/>
        <v>999999999999</v>
      </c>
      <c r="AQ392">
        <f t="shared" si="36"/>
        <v>999999999999</v>
      </c>
      <c r="AR392">
        <f t="shared" si="40"/>
        <v>0</v>
      </c>
    </row>
    <row r="393" spans="25:44">
      <c r="Y393" t="str">
        <f>IF('15 - AI DELEGATION'!A15&lt;&gt;"",IF('15 - AI DELEGATION'!F15="","",'15 - AI DELEGATION'!F15),"")</f>
        <v/>
      </c>
      <c r="Z393" t="str">
        <f>IF('15 - AI DELEGATION'!A15&lt;&gt;"","AI delegation","")</f>
        <v/>
      </c>
      <c r="AA393" t="str">
        <f>IF('15 - AI DELEGATION'!A15&lt;&gt;"",IF('15 - AI DELEGATION'!A15="","",'15 - AI DELEGATION'!A15),"")</f>
        <v/>
      </c>
      <c r="AB393" t="str">
        <f>IF('15 - AI DELEGATION'!A15&lt;&gt;"",IF('15 - AI DELEGATION'!B15="","",'15 - AI DELEGATION'!B15),"")</f>
        <v/>
      </c>
      <c r="AC393" t="str">
        <f>IF('15 - AI DELEGATION'!A15&lt;&gt;"",IF('15 - AI DELEGATION'!G15="","",'15 - AI DELEGATION'!G15),"")</f>
        <v/>
      </c>
      <c r="AD393" t="str">
        <f>IF('15 - AI DELEGATION'!A15&lt;&gt;"",IF('15 - AI DELEGATION'!H15="","",'15 - AI DELEGATION'!H15),"")</f>
        <v/>
      </c>
      <c r="AE393" t="str">
        <f>IF('15 - AI DELEGATION'!A15&lt;&gt;"",IF('15 - AI DELEGATION'!D15="","",'15 - AI DELEGATION'!D15),"")</f>
        <v/>
      </c>
      <c r="AF393" s="17" t="str">
        <f>IF('15 - AI DELEGATION'!A15&lt;&gt;"",IF('15 - AI DELEGATION'!E15="","",'15 - AI DELEGATION'!E15),"")</f>
        <v/>
      </c>
      <c r="AG393" t="str">
        <f>IF('15 - AI DELEGATION'!A15&lt;&gt;"",IF('15 - AI DELEGATION'!I15="","",'15 - AI DELEGATION'!I15),"")</f>
        <v/>
      </c>
      <c r="AH393" t="str">
        <f>IF('15 - AI DELEGATION'!A15&lt;&gt;"",IF('15 - AI DELEGATION'!J15="","",'15 - AI DELEGATION'!J15),"")</f>
        <v/>
      </c>
      <c r="AI393" t="str">
        <f>IF('15 - AI DELEGATION'!A15&lt;&gt;"",IF('15 - AI DELEGATION'!C15="","",'15 - AI DELEGATION'!C15),"")</f>
        <v/>
      </c>
      <c r="AJ393" t="str">
        <f>IF('15 - AI DELEGATION'!A15&lt;&gt;"","15 - AI DELEGATION row 15","")</f>
        <v/>
      </c>
      <c r="AK393">
        <f>IF(AND('15 - AI DELEGATION'!A15&lt;&gt;"",OR('15 - AI DELEGATION'!C15&lt;&gt;"Closed",'15 - AI DELEGATION'!G15&lt;&gt;""),OR(AC393&lt;&gt;"",AD393&lt;&gt;"")),IF(Y393="Critical",1,IF(Y393="Review",2,3))*100000000+IF(ISNUMBER(AF393),AF393,99999)*1000+ROW(),999999999999)</f>
        <v>999999999999</v>
      </c>
      <c r="AL393">
        <f t="shared" si="38"/>
        <v>999999999999</v>
      </c>
      <c r="AM393">
        <f t="shared" si="42"/>
        <v>999999999999</v>
      </c>
      <c r="AN393">
        <f t="shared" si="43"/>
        <v>999999999999</v>
      </c>
      <c r="AO393">
        <f t="shared" si="39"/>
        <v>999999999999</v>
      </c>
      <c r="AP393">
        <f t="shared" si="37"/>
        <v>999999999999</v>
      </c>
      <c r="AQ393">
        <f t="shared" ref="AQ393:AQ436" si="44">IF(AND(ISNUMBER(AK393),Z393="Dependencies",FALSE),AK393,999999999999)</f>
        <v>999999999999</v>
      </c>
      <c r="AR393">
        <f t="shared" si="40"/>
        <v>0</v>
      </c>
    </row>
    <row r="394" spans="25:44">
      <c r="Y394" t="str">
        <f>IF('15 - AI DELEGATION'!A16&lt;&gt;"",IF('15 - AI DELEGATION'!F16="","",'15 - AI DELEGATION'!F16),"")</f>
        <v/>
      </c>
      <c r="Z394" t="str">
        <f>IF('15 - AI DELEGATION'!A16&lt;&gt;"","AI delegation","")</f>
        <v/>
      </c>
      <c r="AA394" t="str">
        <f>IF('15 - AI DELEGATION'!A16&lt;&gt;"",IF('15 - AI DELEGATION'!A16="","",'15 - AI DELEGATION'!A16),"")</f>
        <v/>
      </c>
      <c r="AB394" t="str">
        <f>IF('15 - AI DELEGATION'!A16&lt;&gt;"",IF('15 - AI DELEGATION'!B16="","",'15 - AI DELEGATION'!B16),"")</f>
        <v/>
      </c>
      <c r="AC394" t="str">
        <f>IF('15 - AI DELEGATION'!A16&lt;&gt;"",IF('15 - AI DELEGATION'!G16="","",'15 - AI DELEGATION'!G16),"")</f>
        <v/>
      </c>
      <c r="AD394" t="str">
        <f>IF('15 - AI DELEGATION'!A16&lt;&gt;"",IF('15 - AI DELEGATION'!H16="","",'15 - AI DELEGATION'!H16),"")</f>
        <v/>
      </c>
      <c r="AE394" t="str">
        <f>IF('15 - AI DELEGATION'!A16&lt;&gt;"",IF('15 - AI DELEGATION'!D16="","",'15 - AI DELEGATION'!D16),"")</f>
        <v/>
      </c>
      <c r="AF394" s="17" t="str">
        <f>IF('15 - AI DELEGATION'!A16&lt;&gt;"",IF('15 - AI DELEGATION'!E16="","",'15 - AI DELEGATION'!E16),"")</f>
        <v/>
      </c>
      <c r="AG394" t="str">
        <f>IF('15 - AI DELEGATION'!A16&lt;&gt;"",IF('15 - AI DELEGATION'!I16="","",'15 - AI DELEGATION'!I16),"")</f>
        <v/>
      </c>
      <c r="AH394" t="str">
        <f>IF('15 - AI DELEGATION'!A16&lt;&gt;"",IF('15 - AI DELEGATION'!J16="","",'15 - AI DELEGATION'!J16),"")</f>
        <v/>
      </c>
      <c r="AI394" t="str">
        <f>IF('15 - AI DELEGATION'!A16&lt;&gt;"",IF('15 - AI DELEGATION'!C16="","",'15 - AI DELEGATION'!C16),"")</f>
        <v/>
      </c>
      <c r="AJ394" t="str">
        <f>IF('15 - AI DELEGATION'!A16&lt;&gt;"","15 - AI DELEGATION row 16","")</f>
        <v/>
      </c>
      <c r="AK394">
        <f>IF(AND('15 - AI DELEGATION'!A16&lt;&gt;"",OR('15 - AI DELEGATION'!C16&lt;&gt;"Closed",'15 - AI DELEGATION'!G16&lt;&gt;""),OR(AC394&lt;&gt;"",AD394&lt;&gt;"")),IF(Y394="Critical",1,IF(Y394="Review",2,3))*100000000+IF(ISNUMBER(AF394),AF394,99999)*1000+ROW(),999999999999)</f>
        <v>999999999999</v>
      </c>
      <c r="AL394">
        <f t="shared" si="38"/>
        <v>999999999999</v>
      </c>
      <c r="AM394">
        <f t="shared" si="42"/>
        <v>999999999999</v>
      </c>
      <c r="AN394">
        <f t="shared" si="43"/>
        <v>999999999999</v>
      </c>
      <c r="AO394">
        <f t="shared" si="39"/>
        <v>999999999999</v>
      </c>
      <c r="AP394">
        <f t="shared" si="37"/>
        <v>999999999999</v>
      </c>
      <c r="AQ394">
        <f t="shared" si="44"/>
        <v>999999999999</v>
      </c>
      <c r="AR394">
        <f t="shared" si="40"/>
        <v>0</v>
      </c>
    </row>
    <row r="395" spans="25:44">
      <c r="Y395" t="str">
        <f>IF('15 - AI DELEGATION'!A17&lt;&gt;"",IF('15 - AI DELEGATION'!F17="","",'15 - AI DELEGATION'!F17),"")</f>
        <v/>
      </c>
      <c r="Z395" t="str">
        <f>IF('15 - AI DELEGATION'!A17&lt;&gt;"","AI delegation","")</f>
        <v/>
      </c>
      <c r="AA395" t="str">
        <f>IF('15 - AI DELEGATION'!A17&lt;&gt;"",IF('15 - AI DELEGATION'!A17="","",'15 - AI DELEGATION'!A17),"")</f>
        <v/>
      </c>
      <c r="AB395" t="str">
        <f>IF('15 - AI DELEGATION'!A17&lt;&gt;"",IF('15 - AI DELEGATION'!B17="","",'15 - AI DELEGATION'!B17),"")</f>
        <v/>
      </c>
      <c r="AC395" t="str">
        <f>IF('15 - AI DELEGATION'!A17&lt;&gt;"",IF('15 - AI DELEGATION'!G17="","",'15 - AI DELEGATION'!G17),"")</f>
        <v/>
      </c>
      <c r="AD395" t="str">
        <f>IF('15 - AI DELEGATION'!A17&lt;&gt;"",IF('15 - AI DELEGATION'!H17="","",'15 - AI DELEGATION'!H17),"")</f>
        <v/>
      </c>
      <c r="AE395" t="str">
        <f>IF('15 - AI DELEGATION'!A17&lt;&gt;"",IF('15 - AI DELEGATION'!D17="","",'15 - AI DELEGATION'!D17),"")</f>
        <v/>
      </c>
      <c r="AF395" s="17" t="str">
        <f>IF('15 - AI DELEGATION'!A17&lt;&gt;"",IF('15 - AI DELEGATION'!E17="","",'15 - AI DELEGATION'!E17),"")</f>
        <v/>
      </c>
      <c r="AG395" t="str">
        <f>IF('15 - AI DELEGATION'!A17&lt;&gt;"",IF('15 - AI DELEGATION'!I17="","",'15 - AI DELEGATION'!I17),"")</f>
        <v/>
      </c>
      <c r="AH395" t="str">
        <f>IF('15 - AI DELEGATION'!A17&lt;&gt;"",IF('15 - AI DELEGATION'!J17="","",'15 - AI DELEGATION'!J17),"")</f>
        <v/>
      </c>
      <c r="AI395" t="str">
        <f>IF('15 - AI DELEGATION'!A17&lt;&gt;"",IF('15 - AI DELEGATION'!C17="","",'15 - AI DELEGATION'!C17),"")</f>
        <v/>
      </c>
      <c r="AJ395" t="str">
        <f>IF('15 - AI DELEGATION'!A17&lt;&gt;"","15 - AI DELEGATION row 17","")</f>
        <v/>
      </c>
      <c r="AK395">
        <f>IF(AND('15 - AI DELEGATION'!A17&lt;&gt;"",OR('15 - AI DELEGATION'!C17&lt;&gt;"Closed",'15 - AI DELEGATION'!G17&lt;&gt;""),OR(AC395&lt;&gt;"",AD395&lt;&gt;"")),IF(Y395="Critical",1,IF(Y395="Review",2,3))*100000000+IF(ISNUMBER(AF395),AF395,99999)*1000+ROW(),999999999999)</f>
        <v>999999999999</v>
      </c>
      <c r="AL395">
        <f t="shared" si="38"/>
        <v>999999999999</v>
      </c>
      <c r="AM395">
        <f t="shared" si="42"/>
        <v>999999999999</v>
      </c>
      <c r="AN395">
        <f t="shared" si="43"/>
        <v>999999999999</v>
      </c>
      <c r="AO395">
        <f t="shared" si="39"/>
        <v>999999999999</v>
      </c>
      <c r="AP395">
        <f t="shared" si="37"/>
        <v>999999999999</v>
      </c>
      <c r="AQ395">
        <f t="shared" si="44"/>
        <v>999999999999</v>
      </c>
      <c r="AR395">
        <f t="shared" si="40"/>
        <v>0</v>
      </c>
    </row>
    <row r="396" spans="25:44">
      <c r="Y396" t="str">
        <f>IF('15 - AI DELEGATION'!A18&lt;&gt;"",IF('15 - AI DELEGATION'!F18="","",'15 - AI DELEGATION'!F18),"")</f>
        <v/>
      </c>
      <c r="Z396" t="str">
        <f>IF('15 - AI DELEGATION'!A18&lt;&gt;"","AI delegation","")</f>
        <v/>
      </c>
      <c r="AA396" t="str">
        <f>IF('15 - AI DELEGATION'!A18&lt;&gt;"",IF('15 - AI DELEGATION'!A18="","",'15 - AI DELEGATION'!A18),"")</f>
        <v/>
      </c>
      <c r="AB396" t="str">
        <f>IF('15 - AI DELEGATION'!A18&lt;&gt;"",IF('15 - AI DELEGATION'!B18="","",'15 - AI DELEGATION'!B18),"")</f>
        <v/>
      </c>
      <c r="AC396" t="str">
        <f>IF('15 - AI DELEGATION'!A18&lt;&gt;"",IF('15 - AI DELEGATION'!G18="","",'15 - AI DELEGATION'!G18),"")</f>
        <v/>
      </c>
      <c r="AD396" t="str">
        <f>IF('15 - AI DELEGATION'!A18&lt;&gt;"",IF('15 - AI DELEGATION'!H18="","",'15 - AI DELEGATION'!H18),"")</f>
        <v/>
      </c>
      <c r="AE396" t="str">
        <f>IF('15 - AI DELEGATION'!A18&lt;&gt;"",IF('15 - AI DELEGATION'!D18="","",'15 - AI DELEGATION'!D18),"")</f>
        <v/>
      </c>
      <c r="AF396" s="17" t="str">
        <f>IF('15 - AI DELEGATION'!A18&lt;&gt;"",IF('15 - AI DELEGATION'!E18="","",'15 - AI DELEGATION'!E18),"")</f>
        <v/>
      </c>
      <c r="AG396" t="str">
        <f>IF('15 - AI DELEGATION'!A18&lt;&gt;"",IF('15 - AI DELEGATION'!I18="","",'15 - AI DELEGATION'!I18),"")</f>
        <v/>
      </c>
      <c r="AH396" t="str">
        <f>IF('15 - AI DELEGATION'!A18&lt;&gt;"",IF('15 - AI DELEGATION'!J18="","",'15 - AI DELEGATION'!J18),"")</f>
        <v/>
      </c>
      <c r="AI396" t="str">
        <f>IF('15 - AI DELEGATION'!A18&lt;&gt;"",IF('15 - AI DELEGATION'!C18="","",'15 - AI DELEGATION'!C18),"")</f>
        <v/>
      </c>
      <c r="AJ396" t="str">
        <f>IF('15 - AI DELEGATION'!A18&lt;&gt;"","15 - AI DELEGATION row 18","")</f>
        <v/>
      </c>
      <c r="AK396">
        <f>IF(AND('15 - AI DELEGATION'!A18&lt;&gt;"",OR('15 - AI DELEGATION'!C18&lt;&gt;"Closed",'15 - AI DELEGATION'!G18&lt;&gt;""),OR(AC396&lt;&gt;"",AD396&lt;&gt;"")),IF(Y396="Critical",1,IF(Y396="Review",2,3))*100000000+IF(ISNUMBER(AF396),AF396,99999)*1000+ROW(),999999999999)</f>
        <v>999999999999</v>
      </c>
      <c r="AL396">
        <f t="shared" si="38"/>
        <v>999999999999</v>
      </c>
      <c r="AM396">
        <f t="shared" si="42"/>
        <v>999999999999</v>
      </c>
      <c r="AN396">
        <f t="shared" si="43"/>
        <v>999999999999</v>
      </c>
      <c r="AO396">
        <f t="shared" si="39"/>
        <v>999999999999</v>
      </c>
      <c r="AP396">
        <f t="shared" si="37"/>
        <v>999999999999</v>
      </c>
      <c r="AQ396">
        <f t="shared" si="44"/>
        <v>999999999999</v>
      </c>
      <c r="AR396">
        <f t="shared" si="40"/>
        <v>0</v>
      </c>
    </row>
    <row r="397" spans="25:44">
      <c r="Y397" t="str">
        <f>IF('15 - AI DELEGATION'!A19&lt;&gt;"",IF('15 - AI DELEGATION'!F19="","",'15 - AI DELEGATION'!F19),"")</f>
        <v/>
      </c>
      <c r="Z397" t="str">
        <f>IF('15 - AI DELEGATION'!A19&lt;&gt;"","AI delegation","")</f>
        <v/>
      </c>
      <c r="AA397" t="str">
        <f>IF('15 - AI DELEGATION'!A19&lt;&gt;"",IF('15 - AI DELEGATION'!A19="","",'15 - AI DELEGATION'!A19),"")</f>
        <v/>
      </c>
      <c r="AB397" t="str">
        <f>IF('15 - AI DELEGATION'!A19&lt;&gt;"",IF('15 - AI DELEGATION'!B19="","",'15 - AI DELEGATION'!B19),"")</f>
        <v/>
      </c>
      <c r="AC397" t="str">
        <f>IF('15 - AI DELEGATION'!A19&lt;&gt;"",IF('15 - AI DELEGATION'!G19="","",'15 - AI DELEGATION'!G19),"")</f>
        <v/>
      </c>
      <c r="AD397" t="str">
        <f>IF('15 - AI DELEGATION'!A19&lt;&gt;"",IF('15 - AI DELEGATION'!H19="","",'15 - AI DELEGATION'!H19),"")</f>
        <v/>
      </c>
      <c r="AE397" t="str">
        <f>IF('15 - AI DELEGATION'!A19&lt;&gt;"",IF('15 - AI DELEGATION'!D19="","",'15 - AI DELEGATION'!D19),"")</f>
        <v/>
      </c>
      <c r="AF397" s="17" t="str">
        <f>IF('15 - AI DELEGATION'!A19&lt;&gt;"",IF('15 - AI DELEGATION'!E19="","",'15 - AI DELEGATION'!E19),"")</f>
        <v/>
      </c>
      <c r="AG397" t="str">
        <f>IF('15 - AI DELEGATION'!A19&lt;&gt;"",IF('15 - AI DELEGATION'!I19="","",'15 - AI DELEGATION'!I19),"")</f>
        <v/>
      </c>
      <c r="AH397" t="str">
        <f>IF('15 - AI DELEGATION'!A19&lt;&gt;"",IF('15 - AI DELEGATION'!J19="","",'15 - AI DELEGATION'!J19),"")</f>
        <v/>
      </c>
      <c r="AI397" t="str">
        <f>IF('15 - AI DELEGATION'!A19&lt;&gt;"",IF('15 - AI DELEGATION'!C19="","",'15 - AI DELEGATION'!C19),"")</f>
        <v/>
      </c>
      <c r="AJ397" t="str">
        <f>IF('15 - AI DELEGATION'!A19&lt;&gt;"","15 - AI DELEGATION row 19","")</f>
        <v/>
      </c>
      <c r="AK397">
        <f>IF(AND('15 - AI DELEGATION'!A19&lt;&gt;"",OR('15 - AI DELEGATION'!C19&lt;&gt;"Closed",'15 - AI DELEGATION'!G19&lt;&gt;""),OR(AC397&lt;&gt;"",AD397&lt;&gt;"")),IF(Y397="Critical",1,IF(Y397="Review",2,3))*100000000+IF(ISNUMBER(AF397),AF397,99999)*1000+ROW(),999999999999)</f>
        <v>999999999999</v>
      </c>
      <c r="AL397">
        <f t="shared" si="38"/>
        <v>999999999999</v>
      </c>
      <c r="AM397">
        <f t="shared" si="42"/>
        <v>999999999999</v>
      </c>
      <c r="AN397">
        <f t="shared" si="43"/>
        <v>999999999999</v>
      </c>
      <c r="AO397">
        <f t="shared" si="39"/>
        <v>999999999999</v>
      </c>
      <c r="AP397">
        <f t="shared" si="37"/>
        <v>999999999999</v>
      </c>
      <c r="AQ397">
        <f t="shared" si="44"/>
        <v>999999999999</v>
      </c>
      <c r="AR397">
        <f t="shared" si="40"/>
        <v>0</v>
      </c>
    </row>
    <row r="398" spans="25:44">
      <c r="Y398" t="str">
        <f>IF('15 - AI DELEGATION'!A20&lt;&gt;"",IF('15 - AI DELEGATION'!F20="","",'15 - AI DELEGATION'!F20),"")</f>
        <v/>
      </c>
      <c r="Z398" t="str">
        <f>IF('15 - AI DELEGATION'!A20&lt;&gt;"","AI delegation","")</f>
        <v/>
      </c>
      <c r="AA398" t="str">
        <f>IF('15 - AI DELEGATION'!A20&lt;&gt;"",IF('15 - AI DELEGATION'!A20="","",'15 - AI DELEGATION'!A20),"")</f>
        <v/>
      </c>
      <c r="AB398" t="str">
        <f>IF('15 - AI DELEGATION'!A20&lt;&gt;"",IF('15 - AI DELEGATION'!B20="","",'15 - AI DELEGATION'!B20),"")</f>
        <v/>
      </c>
      <c r="AC398" t="str">
        <f>IF('15 - AI DELEGATION'!A20&lt;&gt;"",IF('15 - AI DELEGATION'!G20="","",'15 - AI DELEGATION'!G20),"")</f>
        <v/>
      </c>
      <c r="AD398" t="str">
        <f>IF('15 - AI DELEGATION'!A20&lt;&gt;"",IF('15 - AI DELEGATION'!H20="","",'15 - AI DELEGATION'!H20),"")</f>
        <v/>
      </c>
      <c r="AE398" t="str">
        <f>IF('15 - AI DELEGATION'!A20&lt;&gt;"",IF('15 - AI DELEGATION'!D20="","",'15 - AI DELEGATION'!D20),"")</f>
        <v/>
      </c>
      <c r="AF398" s="17" t="str">
        <f>IF('15 - AI DELEGATION'!A20&lt;&gt;"",IF('15 - AI DELEGATION'!E20="","",'15 - AI DELEGATION'!E20),"")</f>
        <v/>
      </c>
      <c r="AG398" t="str">
        <f>IF('15 - AI DELEGATION'!A20&lt;&gt;"",IF('15 - AI DELEGATION'!I20="","",'15 - AI DELEGATION'!I20),"")</f>
        <v/>
      </c>
      <c r="AH398" t="str">
        <f>IF('15 - AI DELEGATION'!A20&lt;&gt;"",IF('15 - AI DELEGATION'!J20="","",'15 - AI DELEGATION'!J20),"")</f>
        <v/>
      </c>
      <c r="AI398" t="str">
        <f>IF('15 - AI DELEGATION'!A20&lt;&gt;"",IF('15 - AI DELEGATION'!C20="","",'15 - AI DELEGATION'!C20),"")</f>
        <v/>
      </c>
      <c r="AJ398" t="str">
        <f>IF('15 - AI DELEGATION'!A20&lt;&gt;"","15 - AI DELEGATION row 20","")</f>
        <v/>
      </c>
      <c r="AK398">
        <f>IF(AND('15 - AI DELEGATION'!A20&lt;&gt;"",OR('15 - AI DELEGATION'!C20&lt;&gt;"Closed",'15 - AI DELEGATION'!G20&lt;&gt;""),OR(AC398&lt;&gt;"",AD398&lt;&gt;"")),IF(Y398="Critical",1,IF(Y398="Review",2,3))*100000000+IF(ISNUMBER(AF398),AF398,99999)*1000+ROW(),999999999999)</f>
        <v>999999999999</v>
      </c>
      <c r="AL398">
        <f t="shared" si="38"/>
        <v>999999999999</v>
      </c>
      <c r="AM398">
        <f t="shared" si="42"/>
        <v>999999999999</v>
      </c>
      <c r="AN398">
        <f t="shared" si="43"/>
        <v>999999999999</v>
      </c>
      <c r="AO398">
        <f t="shared" si="39"/>
        <v>999999999999</v>
      </c>
      <c r="AP398">
        <f t="shared" si="37"/>
        <v>999999999999</v>
      </c>
      <c r="AQ398">
        <f t="shared" si="44"/>
        <v>999999999999</v>
      </c>
      <c r="AR398">
        <f t="shared" si="40"/>
        <v>0</v>
      </c>
    </row>
    <row r="399" spans="25:44">
      <c r="Y399" t="str">
        <f>IF('15 - AI DELEGATION'!A21&lt;&gt;"",IF('15 - AI DELEGATION'!F21="","",'15 - AI DELEGATION'!F21),"")</f>
        <v/>
      </c>
      <c r="Z399" t="str">
        <f>IF('15 - AI DELEGATION'!A21&lt;&gt;"","AI delegation","")</f>
        <v/>
      </c>
      <c r="AA399" t="str">
        <f>IF('15 - AI DELEGATION'!A21&lt;&gt;"",IF('15 - AI DELEGATION'!A21="","",'15 - AI DELEGATION'!A21),"")</f>
        <v/>
      </c>
      <c r="AB399" t="str">
        <f>IF('15 - AI DELEGATION'!A21&lt;&gt;"",IF('15 - AI DELEGATION'!B21="","",'15 - AI DELEGATION'!B21),"")</f>
        <v/>
      </c>
      <c r="AC399" t="str">
        <f>IF('15 - AI DELEGATION'!A21&lt;&gt;"",IF('15 - AI DELEGATION'!G21="","",'15 - AI DELEGATION'!G21),"")</f>
        <v/>
      </c>
      <c r="AD399" t="str">
        <f>IF('15 - AI DELEGATION'!A21&lt;&gt;"",IF('15 - AI DELEGATION'!H21="","",'15 - AI DELEGATION'!H21),"")</f>
        <v/>
      </c>
      <c r="AE399" t="str">
        <f>IF('15 - AI DELEGATION'!A21&lt;&gt;"",IF('15 - AI DELEGATION'!D21="","",'15 - AI DELEGATION'!D21),"")</f>
        <v/>
      </c>
      <c r="AF399" s="17" t="str">
        <f>IF('15 - AI DELEGATION'!A21&lt;&gt;"",IF('15 - AI DELEGATION'!E21="","",'15 - AI DELEGATION'!E21),"")</f>
        <v/>
      </c>
      <c r="AG399" t="str">
        <f>IF('15 - AI DELEGATION'!A21&lt;&gt;"",IF('15 - AI DELEGATION'!I21="","",'15 - AI DELEGATION'!I21),"")</f>
        <v/>
      </c>
      <c r="AH399" t="str">
        <f>IF('15 - AI DELEGATION'!A21&lt;&gt;"",IF('15 - AI DELEGATION'!J21="","",'15 - AI DELEGATION'!J21),"")</f>
        <v/>
      </c>
      <c r="AI399" t="str">
        <f>IF('15 - AI DELEGATION'!A21&lt;&gt;"",IF('15 - AI DELEGATION'!C21="","",'15 - AI DELEGATION'!C21),"")</f>
        <v/>
      </c>
      <c r="AJ399" t="str">
        <f>IF('15 - AI DELEGATION'!A21&lt;&gt;"","15 - AI DELEGATION row 21","")</f>
        <v/>
      </c>
      <c r="AK399">
        <f>IF(AND('15 - AI DELEGATION'!A21&lt;&gt;"",OR('15 - AI DELEGATION'!C21&lt;&gt;"Closed",'15 - AI DELEGATION'!G21&lt;&gt;""),OR(AC399&lt;&gt;"",AD399&lt;&gt;"")),IF(Y399="Critical",1,IF(Y399="Review",2,3))*100000000+IF(ISNUMBER(AF399),AF399,99999)*1000+ROW(),999999999999)</f>
        <v>999999999999</v>
      </c>
      <c r="AL399">
        <f t="shared" si="38"/>
        <v>999999999999</v>
      </c>
      <c r="AM399">
        <f t="shared" si="42"/>
        <v>999999999999</v>
      </c>
      <c r="AN399">
        <f t="shared" si="43"/>
        <v>999999999999</v>
      </c>
      <c r="AO399">
        <f t="shared" si="39"/>
        <v>999999999999</v>
      </c>
      <c r="AP399">
        <f t="shared" si="37"/>
        <v>999999999999</v>
      </c>
      <c r="AQ399">
        <f t="shared" si="44"/>
        <v>999999999999</v>
      </c>
      <c r="AR399">
        <f t="shared" si="40"/>
        <v>0</v>
      </c>
    </row>
    <row r="400" spans="25:44">
      <c r="Y400" t="str">
        <f>IF('15 - AI DELEGATION'!A22&lt;&gt;"",IF('15 - AI DELEGATION'!F22="","",'15 - AI DELEGATION'!F22),"")</f>
        <v/>
      </c>
      <c r="Z400" t="str">
        <f>IF('15 - AI DELEGATION'!A22&lt;&gt;"","AI delegation","")</f>
        <v/>
      </c>
      <c r="AA400" t="str">
        <f>IF('15 - AI DELEGATION'!A22&lt;&gt;"",IF('15 - AI DELEGATION'!A22="","",'15 - AI DELEGATION'!A22),"")</f>
        <v/>
      </c>
      <c r="AB400" t="str">
        <f>IF('15 - AI DELEGATION'!A22&lt;&gt;"",IF('15 - AI DELEGATION'!B22="","",'15 - AI DELEGATION'!B22),"")</f>
        <v/>
      </c>
      <c r="AC400" t="str">
        <f>IF('15 - AI DELEGATION'!A22&lt;&gt;"",IF('15 - AI DELEGATION'!G22="","",'15 - AI DELEGATION'!G22),"")</f>
        <v/>
      </c>
      <c r="AD400" t="str">
        <f>IF('15 - AI DELEGATION'!A22&lt;&gt;"",IF('15 - AI DELEGATION'!H22="","",'15 - AI DELEGATION'!H22),"")</f>
        <v/>
      </c>
      <c r="AE400" t="str">
        <f>IF('15 - AI DELEGATION'!A22&lt;&gt;"",IF('15 - AI DELEGATION'!D22="","",'15 - AI DELEGATION'!D22),"")</f>
        <v/>
      </c>
      <c r="AF400" s="17" t="str">
        <f>IF('15 - AI DELEGATION'!A22&lt;&gt;"",IF('15 - AI DELEGATION'!E22="","",'15 - AI DELEGATION'!E22),"")</f>
        <v/>
      </c>
      <c r="AG400" t="str">
        <f>IF('15 - AI DELEGATION'!A22&lt;&gt;"",IF('15 - AI DELEGATION'!I22="","",'15 - AI DELEGATION'!I22),"")</f>
        <v/>
      </c>
      <c r="AH400" t="str">
        <f>IF('15 - AI DELEGATION'!A22&lt;&gt;"",IF('15 - AI DELEGATION'!J22="","",'15 - AI DELEGATION'!J22),"")</f>
        <v/>
      </c>
      <c r="AI400" t="str">
        <f>IF('15 - AI DELEGATION'!A22&lt;&gt;"",IF('15 - AI DELEGATION'!C22="","",'15 - AI DELEGATION'!C22),"")</f>
        <v/>
      </c>
      <c r="AJ400" t="str">
        <f>IF('15 - AI DELEGATION'!A22&lt;&gt;"","15 - AI DELEGATION row 22","")</f>
        <v/>
      </c>
      <c r="AK400">
        <f>IF(AND('15 - AI DELEGATION'!A22&lt;&gt;"",OR('15 - AI DELEGATION'!C22&lt;&gt;"Closed",'15 - AI DELEGATION'!G22&lt;&gt;""),OR(AC400&lt;&gt;"",AD400&lt;&gt;"")),IF(Y400="Critical",1,IF(Y400="Review",2,3))*100000000+IF(ISNUMBER(AF400),AF400,99999)*1000+ROW(),999999999999)</f>
        <v>999999999999</v>
      </c>
      <c r="AL400">
        <f t="shared" si="38"/>
        <v>999999999999</v>
      </c>
      <c r="AM400">
        <f t="shared" si="42"/>
        <v>999999999999</v>
      </c>
      <c r="AN400">
        <f t="shared" si="43"/>
        <v>999999999999</v>
      </c>
      <c r="AO400">
        <f t="shared" si="39"/>
        <v>999999999999</v>
      </c>
      <c r="AP400">
        <f t="shared" si="37"/>
        <v>999999999999</v>
      </c>
      <c r="AQ400">
        <f t="shared" si="44"/>
        <v>999999999999</v>
      </c>
      <c r="AR400">
        <f t="shared" si="40"/>
        <v>0</v>
      </c>
    </row>
    <row r="401" spans="25:44">
      <c r="Y401" t="str">
        <f>IF('15 - AI DELEGATION'!A23&lt;&gt;"",IF('15 - AI DELEGATION'!F23="","",'15 - AI DELEGATION'!F23),"")</f>
        <v/>
      </c>
      <c r="Z401" t="str">
        <f>IF('15 - AI DELEGATION'!A23&lt;&gt;"","AI delegation","")</f>
        <v/>
      </c>
      <c r="AA401" t="str">
        <f>IF('15 - AI DELEGATION'!A23&lt;&gt;"",IF('15 - AI DELEGATION'!A23="","",'15 - AI DELEGATION'!A23),"")</f>
        <v/>
      </c>
      <c r="AB401" t="str">
        <f>IF('15 - AI DELEGATION'!A23&lt;&gt;"",IF('15 - AI DELEGATION'!B23="","",'15 - AI DELEGATION'!B23),"")</f>
        <v/>
      </c>
      <c r="AC401" t="str">
        <f>IF('15 - AI DELEGATION'!A23&lt;&gt;"",IF('15 - AI DELEGATION'!G23="","",'15 - AI DELEGATION'!G23),"")</f>
        <v/>
      </c>
      <c r="AD401" t="str">
        <f>IF('15 - AI DELEGATION'!A23&lt;&gt;"",IF('15 - AI DELEGATION'!H23="","",'15 - AI DELEGATION'!H23),"")</f>
        <v/>
      </c>
      <c r="AE401" t="str">
        <f>IF('15 - AI DELEGATION'!A23&lt;&gt;"",IF('15 - AI DELEGATION'!D23="","",'15 - AI DELEGATION'!D23),"")</f>
        <v/>
      </c>
      <c r="AF401" s="17" t="str">
        <f>IF('15 - AI DELEGATION'!A23&lt;&gt;"",IF('15 - AI DELEGATION'!E23="","",'15 - AI DELEGATION'!E23),"")</f>
        <v/>
      </c>
      <c r="AG401" t="str">
        <f>IF('15 - AI DELEGATION'!A23&lt;&gt;"",IF('15 - AI DELEGATION'!I23="","",'15 - AI DELEGATION'!I23),"")</f>
        <v/>
      </c>
      <c r="AH401" t="str">
        <f>IF('15 - AI DELEGATION'!A23&lt;&gt;"",IF('15 - AI DELEGATION'!J23="","",'15 - AI DELEGATION'!J23),"")</f>
        <v/>
      </c>
      <c r="AI401" t="str">
        <f>IF('15 - AI DELEGATION'!A23&lt;&gt;"",IF('15 - AI DELEGATION'!C23="","",'15 - AI DELEGATION'!C23),"")</f>
        <v/>
      </c>
      <c r="AJ401" t="str">
        <f>IF('15 - AI DELEGATION'!A23&lt;&gt;"","15 - AI DELEGATION row 23","")</f>
        <v/>
      </c>
      <c r="AK401">
        <f>IF(AND('15 - AI DELEGATION'!A23&lt;&gt;"",OR('15 - AI DELEGATION'!C23&lt;&gt;"Closed",'15 - AI DELEGATION'!G23&lt;&gt;""),OR(AC401&lt;&gt;"",AD401&lt;&gt;"")),IF(Y401="Critical",1,IF(Y401="Review",2,3))*100000000+IF(ISNUMBER(AF401),AF401,99999)*1000+ROW(),999999999999)</f>
        <v>999999999999</v>
      </c>
      <c r="AL401">
        <f t="shared" si="38"/>
        <v>999999999999</v>
      </c>
      <c r="AM401">
        <f t="shared" si="42"/>
        <v>999999999999</v>
      </c>
      <c r="AN401">
        <f t="shared" si="43"/>
        <v>999999999999</v>
      </c>
      <c r="AO401">
        <f t="shared" si="39"/>
        <v>999999999999</v>
      </c>
      <c r="AP401">
        <f t="shared" si="37"/>
        <v>999999999999</v>
      </c>
      <c r="AQ401">
        <f t="shared" si="44"/>
        <v>999999999999</v>
      </c>
      <c r="AR401">
        <f t="shared" si="40"/>
        <v>0</v>
      </c>
    </row>
    <row r="402" spans="25:44">
      <c r="Y402" t="str">
        <f>IF('15 - AI DELEGATION'!A24&lt;&gt;"",IF('15 - AI DELEGATION'!F24="","",'15 - AI DELEGATION'!F24),"")</f>
        <v/>
      </c>
      <c r="Z402" t="str">
        <f>IF('15 - AI DELEGATION'!A24&lt;&gt;"","AI delegation","")</f>
        <v/>
      </c>
      <c r="AA402" t="str">
        <f>IF('15 - AI DELEGATION'!A24&lt;&gt;"",IF('15 - AI DELEGATION'!A24="","",'15 - AI DELEGATION'!A24),"")</f>
        <v/>
      </c>
      <c r="AB402" t="str">
        <f>IF('15 - AI DELEGATION'!A24&lt;&gt;"",IF('15 - AI DELEGATION'!B24="","",'15 - AI DELEGATION'!B24),"")</f>
        <v/>
      </c>
      <c r="AC402" t="str">
        <f>IF('15 - AI DELEGATION'!A24&lt;&gt;"",IF('15 - AI DELEGATION'!G24="","",'15 - AI DELEGATION'!G24),"")</f>
        <v/>
      </c>
      <c r="AD402" t="str">
        <f>IF('15 - AI DELEGATION'!A24&lt;&gt;"",IF('15 - AI DELEGATION'!H24="","",'15 - AI DELEGATION'!H24),"")</f>
        <v/>
      </c>
      <c r="AE402" t="str">
        <f>IF('15 - AI DELEGATION'!A24&lt;&gt;"",IF('15 - AI DELEGATION'!D24="","",'15 - AI DELEGATION'!D24),"")</f>
        <v/>
      </c>
      <c r="AF402" s="17" t="str">
        <f>IF('15 - AI DELEGATION'!A24&lt;&gt;"",IF('15 - AI DELEGATION'!E24="","",'15 - AI DELEGATION'!E24),"")</f>
        <v/>
      </c>
      <c r="AG402" t="str">
        <f>IF('15 - AI DELEGATION'!A24&lt;&gt;"",IF('15 - AI DELEGATION'!I24="","",'15 - AI DELEGATION'!I24),"")</f>
        <v/>
      </c>
      <c r="AH402" t="str">
        <f>IF('15 - AI DELEGATION'!A24&lt;&gt;"",IF('15 - AI DELEGATION'!J24="","",'15 - AI DELEGATION'!J24),"")</f>
        <v/>
      </c>
      <c r="AI402" t="str">
        <f>IF('15 - AI DELEGATION'!A24&lt;&gt;"",IF('15 - AI DELEGATION'!C24="","",'15 - AI DELEGATION'!C24),"")</f>
        <v/>
      </c>
      <c r="AJ402" t="str">
        <f>IF('15 - AI DELEGATION'!A24&lt;&gt;"","15 - AI DELEGATION row 24","")</f>
        <v/>
      </c>
      <c r="AK402">
        <f>IF(AND('15 - AI DELEGATION'!A24&lt;&gt;"",OR('15 - AI DELEGATION'!C24&lt;&gt;"Closed",'15 - AI DELEGATION'!G24&lt;&gt;""),OR(AC402&lt;&gt;"",AD402&lt;&gt;"")),IF(Y402="Critical",1,IF(Y402="Review",2,3))*100000000+IF(ISNUMBER(AF402),AF402,99999)*1000+ROW(),999999999999)</f>
        <v>999999999999</v>
      </c>
      <c r="AL402">
        <f t="shared" si="38"/>
        <v>999999999999</v>
      </c>
      <c r="AM402">
        <f t="shared" si="42"/>
        <v>999999999999</v>
      </c>
      <c r="AN402">
        <f t="shared" si="43"/>
        <v>999999999999</v>
      </c>
      <c r="AO402">
        <f t="shared" si="39"/>
        <v>999999999999</v>
      </c>
      <c r="AP402">
        <f t="shared" si="37"/>
        <v>999999999999</v>
      </c>
      <c r="AQ402">
        <f t="shared" si="44"/>
        <v>999999999999</v>
      </c>
      <c r="AR402">
        <f t="shared" si="40"/>
        <v>0</v>
      </c>
    </row>
    <row r="403" spans="25:44">
      <c r="Y403" t="str">
        <f>IF('15 - AI DELEGATION'!A25&lt;&gt;"",IF('15 - AI DELEGATION'!F25="","",'15 - AI DELEGATION'!F25),"")</f>
        <v/>
      </c>
      <c r="Z403" t="str">
        <f>IF('15 - AI DELEGATION'!A25&lt;&gt;"","AI delegation","")</f>
        <v/>
      </c>
      <c r="AA403" t="str">
        <f>IF('15 - AI DELEGATION'!A25&lt;&gt;"",IF('15 - AI DELEGATION'!A25="","",'15 - AI DELEGATION'!A25),"")</f>
        <v/>
      </c>
      <c r="AB403" t="str">
        <f>IF('15 - AI DELEGATION'!A25&lt;&gt;"",IF('15 - AI DELEGATION'!B25="","",'15 - AI DELEGATION'!B25),"")</f>
        <v/>
      </c>
      <c r="AC403" t="str">
        <f>IF('15 - AI DELEGATION'!A25&lt;&gt;"",IF('15 - AI DELEGATION'!G25="","",'15 - AI DELEGATION'!G25),"")</f>
        <v/>
      </c>
      <c r="AD403" t="str">
        <f>IF('15 - AI DELEGATION'!A25&lt;&gt;"",IF('15 - AI DELEGATION'!H25="","",'15 - AI DELEGATION'!H25),"")</f>
        <v/>
      </c>
      <c r="AE403" t="str">
        <f>IF('15 - AI DELEGATION'!A25&lt;&gt;"",IF('15 - AI DELEGATION'!D25="","",'15 - AI DELEGATION'!D25),"")</f>
        <v/>
      </c>
      <c r="AF403" s="17" t="str">
        <f>IF('15 - AI DELEGATION'!A25&lt;&gt;"",IF('15 - AI DELEGATION'!E25="","",'15 - AI DELEGATION'!E25),"")</f>
        <v/>
      </c>
      <c r="AG403" t="str">
        <f>IF('15 - AI DELEGATION'!A25&lt;&gt;"",IF('15 - AI DELEGATION'!I25="","",'15 - AI DELEGATION'!I25),"")</f>
        <v/>
      </c>
      <c r="AH403" t="str">
        <f>IF('15 - AI DELEGATION'!A25&lt;&gt;"",IF('15 - AI DELEGATION'!J25="","",'15 - AI DELEGATION'!J25),"")</f>
        <v/>
      </c>
      <c r="AI403" t="str">
        <f>IF('15 - AI DELEGATION'!A25&lt;&gt;"",IF('15 - AI DELEGATION'!C25="","",'15 - AI DELEGATION'!C25),"")</f>
        <v/>
      </c>
      <c r="AJ403" t="str">
        <f>IF('15 - AI DELEGATION'!A25&lt;&gt;"","15 - AI DELEGATION row 25","")</f>
        <v/>
      </c>
      <c r="AK403">
        <f>IF(AND('15 - AI DELEGATION'!A25&lt;&gt;"",OR('15 - AI DELEGATION'!C25&lt;&gt;"Closed",'15 - AI DELEGATION'!G25&lt;&gt;""),OR(AC403&lt;&gt;"",AD403&lt;&gt;"")),IF(Y403="Critical",1,IF(Y403="Review",2,3))*100000000+IF(ISNUMBER(AF403),AF403,99999)*1000+ROW(),999999999999)</f>
        <v>999999999999</v>
      </c>
      <c r="AL403">
        <f t="shared" si="38"/>
        <v>999999999999</v>
      </c>
      <c r="AM403">
        <f t="shared" si="42"/>
        <v>999999999999</v>
      </c>
      <c r="AN403">
        <f t="shared" si="43"/>
        <v>999999999999</v>
      </c>
      <c r="AO403">
        <f t="shared" si="39"/>
        <v>999999999999</v>
      </c>
      <c r="AP403">
        <f t="shared" si="37"/>
        <v>999999999999</v>
      </c>
      <c r="AQ403">
        <f t="shared" si="44"/>
        <v>999999999999</v>
      </c>
      <c r="AR403">
        <f t="shared" si="40"/>
        <v>0</v>
      </c>
    </row>
    <row r="404" spans="25:44">
      <c r="Y404" t="str">
        <f>IF('15 - AI DELEGATION'!A26&lt;&gt;"",IF('15 - AI DELEGATION'!F26="","",'15 - AI DELEGATION'!F26),"")</f>
        <v/>
      </c>
      <c r="Z404" t="str">
        <f>IF('15 - AI DELEGATION'!A26&lt;&gt;"","AI delegation","")</f>
        <v/>
      </c>
      <c r="AA404" t="str">
        <f>IF('15 - AI DELEGATION'!A26&lt;&gt;"",IF('15 - AI DELEGATION'!A26="","",'15 - AI DELEGATION'!A26),"")</f>
        <v/>
      </c>
      <c r="AB404" t="str">
        <f>IF('15 - AI DELEGATION'!A26&lt;&gt;"",IF('15 - AI DELEGATION'!B26="","",'15 - AI DELEGATION'!B26),"")</f>
        <v/>
      </c>
      <c r="AC404" t="str">
        <f>IF('15 - AI DELEGATION'!A26&lt;&gt;"",IF('15 - AI DELEGATION'!G26="","",'15 - AI DELEGATION'!G26),"")</f>
        <v/>
      </c>
      <c r="AD404" t="str">
        <f>IF('15 - AI DELEGATION'!A26&lt;&gt;"",IF('15 - AI DELEGATION'!H26="","",'15 - AI DELEGATION'!H26),"")</f>
        <v/>
      </c>
      <c r="AE404" t="str">
        <f>IF('15 - AI DELEGATION'!A26&lt;&gt;"",IF('15 - AI DELEGATION'!D26="","",'15 - AI DELEGATION'!D26),"")</f>
        <v/>
      </c>
      <c r="AF404" s="17" t="str">
        <f>IF('15 - AI DELEGATION'!A26&lt;&gt;"",IF('15 - AI DELEGATION'!E26="","",'15 - AI DELEGATION'!E26),"")</f>
        <v/>
      </c>
      <c r="AG404" t="str">
        <f>IF('15 - AI DELEGATION'!A26&lt;&gt;"",IF('15 - AI DELEGATION'!I26="","",'15 - AI DELEGATION'!I26),"")</f>
        <v/>
      </c>
      <c r="AH404" t="str">
        <f>IF('15 - AI DELEGATION'!A26&lt;&gt;"",IF('15 - AI DELEGATION'!J26="","",'15 - AI DELEGATION'!J26),"")</f>
        <v/>
      </c>
      <c r="AI404" t="str">
        <f>IF('15 - AI DELEGATION'!A26&lt;&gt;"",IF('15 - AI DELEGATION'!C26="","",'15 - AI DELEGATION'!C26),"")</f>
        <v/>
      </c>
      <c r="AJ404" t="str">
        <f>IF('15 - AI DELEGATION'!A26&lt;&gt;"","15 - AI DELEGATION row 26","")</f>
        <v/>
      </c>
      <c r="AK404">
        <f>IF(AND('15 - AI DELEGATION'!A26&lt;&gt;"",OR('15 - AI DELEGATION'!C26&lt;&gt;"Closed",'15 - AI DELEGATION'!G26&lt;&gt;""),OR(AC404&lt;&gt;"",AD404&lt;&gt;"")),IF(Y404="Critical",1,IF(Y404="Review",2,3))*100000000+IF(ISNUMBER(AF404),AF404,99999)*1000+ROW(),999999999999)</f>
        <v>999999999999</v>
      </c>
      <c r="AL404">
        <f t="shared" si="38"/>
        <v>999999999999</v>
      </c>
      <c r="AM404">
        <f t="shared" si="42"/>
        <v>999999999999</v>
      </c>
      <c r="AN404">
        <f t="shared" si="43"/>
        <v>999999999999</v>
      </c>
      <c r="AO404">
        <f t="shared" si="39"/>
        <v>999999999999</v>
      </c>
      <c r="AP404">
        <f t="shared" si="37"/>
        <v>999999999999</v>
      </c>
      <c r="AQ404">
        <f t="shared" si="44"/>
        <v>999999999999</v>
      </c>
      <c r="AR404">
        <f t="shared" si="40"/>
        <v>0</v>
      </c>
    </row>
    <row r="405" spans="25:44">
      <c r="Y405" t="str">
        <f>IF('15 - AI DELEGATION'!A27&lt;&gt;"",IF('15 - AI DELEGATION'!F27="","",'15 - AI DELEGATION'!F27),"")</f>
        <v/>
      </c>
      <c r="Z405" t="str">
        <f>IF('15 - AI DELEGATION'!A27&lt;&gt;"","AI delegation","")</f>
        <v/>
      </c>
      <c r="AA405" t="str">
        <f>IF('15 - AI DELEGATION'!A27&lt;&gt;"",IF('15 - AI DELEGATION'!A27="","",'15 - AI DELEGATION'!A27),"")</f>
        <v/>
      </c>
      <c r="AB405" t="str">
        <f>IF('15 - AI DELEGATION'!A27&lt;&gt;"",IF('15 - AI DELEGATION'!B27="","",'15 - AI DELEGATION'!B27),"")</f>
        <v/>
      </c>
      <c r="AC405" t="str">
        <f>IF('15 - AI DELEGATION'!A27&lt;&gt;"",IF('15 - AI DELEGATION'!G27="","",'15 - AI DELEGATION'!G27),"")</f>
        <v/>
      </c>
      <c r="AD405" t="str">
        <f>IF('15 - AI DELEGATION'!A27&lt;&gt;"",IF('15 - AI DELEGATION'!H27="","",'15 - AI DELEGATION'!H27),"")</f>
        <v/>
      </c>
      <c r="AE405" t="str">
        <f>IF('15 - AI DELEGATION'!A27&lt;&gt;"",IF('15 - AI DELEGATION'!D27="","",'15 - AI DELEGATION'!D27),"")</f>
        <v/>
      </c>
      <c r="AF405" s="17" t="str">
        <f>IF('15 - AI DELEGATION'!A27&lt;&gt;"",IF('15 - AI DELEGATION'!E27="","",'15 - AI DELEGATION'!E27),"")</f>
        <v/>
      </c>
      <c r="AG405" t="str">
        <f>IF('15 - AI DELEGATION'!A27&lt;&gt;"",IF('15 - AI DELEGATION'!I27="","",'15 - AI DELEGATION'!I27),"")</f>
        <v/>
      </c>
      <c r="AH405" t="str">
        <f>IF('15 - AI DELEGATION'!A27&lt;&gt;"",IF('15 - AI DELEGATION'!J27="","",'15 - AI DELEGATION'!J27),"")</f>
        <v/>
      </c>
      <c r="AI405" t="str">
        <f>IF('15 - AI DELEGATION'!A27&lt;&gt;"",IF('15 - AI DELEGATION'!C27="","",'15 - AI DELEGATION'!C27),"")</f>
        <v/>
      </c>
      <c r="AJ405" t="str">
        <f>IF('15 - AI DELEGATION'!A27&lt;&gt;"","15 - AI DELEGATION row 27","")</f>
        <v/>
      </c>
      <c r="AK405">
        <f>IF(AND('15 - AI DELEGATION'!A27&lt;&gt;"",OR('15 - AI DELEGATION'!C27&lt;&gt;"Closed",'15 - AI DELEGATION'!G27&lt;&gt;""),OR(AC405&lt;&gt;"",AD405&lt;&gt;"")),IF(Y405="Critical",1,IF(Y405="Review",2,3))*100000000+IF(ISNUMBER(AF405),AF405,99999)*1000+ROW(),999999999999)</f>
        <v>999999999999</v>
      </c>
      <c r="AL405">
        <f t="shared" si="38"/>
        <v>999999999999</v>
      </c>
      <c r="AM405">
        <f t="shared" si="42"/>
        <v>999999999999</v>
      </c>
      <c r="AN405">
        <f t="shared" si="43"/>
        <v>999999999999</v>
      </c>
      <c r="AO405">
        <f t="shared" si="39"/>
        <v>999999999999</v>
      </c>
      <c r="AP405">
        <f t="shared" si="37"/>
        <v>999999999999</v>
      </c>
      <c r="AQ405">
        <f t="shared" si="44"/>
        <v>999999999999</v>
      </c>
      <c r="AR405">
        <f t="shared" si="40"/>
        <v>0</v>
      </c>
    </row>
    <row r="406" spans="25:44">
      <c r="Y406" t="str">
        <f>IF('15 - AI DELEGATION'!A28&lt;&gt;"",IF('15 - AI DELEGATION'!F28="","",'15 - AI DELEGATION'!F28),"")</f>
        <v/>
      </c>
      <c r="Z406" t="str">
        <f>IF('15 - AI DELEGATION'!A28&lt;&gt;"","AI delegation","")</f>
        <v/>
      </c>
      <c r="AA406" t="str">
        <f>IF('15 - AI DELEGATION'!A28&lt;&gt;"",IF('15 - AI DELEGATION'!A28="","",'15 - AI DELEGATION'!A28),"")</f>
        <v/>
      </c>
      <c r="AB406" t="str">
        <f>IF('15 - AI DELEGATION'!A28&lt;&gt;"",IF('15 - AI DELEGATION'!B28="","",'15 - AI DELEGATION'!B28),"")</f>
        <v/>
      </c>
      <c r="AC406" t="str">
        <f>IF('15 - AI DELEGATION'!A28&lt;&gt;"",IF('15 - AI DELEGATION'!G28="","",'15 - AI DELEGATION'!G28),"")</f>
        <v/>
      </c>
      <c r="AD406" t="str">
        <f>IF('15 - AI DELEGATION'!A28&lt;&gt;"",IF('15 - AI DELEGATION'!H28="","",'15 - AI DELEGATION'!H28),"")</f>
        <v/>
      </c>
      <c r="AE406" t="str">
        <f>IF('15 - AI DELEGATION'!A28&lt;&gt;"",IF('15 - AI DELEGATION'!D28="","",'15 - AI DELEGATION'!D28),"")</f>
        <v/>
      </c>
      <c r="AF406" s="17" t="str">
        <f>IF('15 - AI DELEGATION'!A28&lt;&gt;"",IF('15 - AI DELEGATION'!E28="","",'15 - AI DELEGATION'!E28),"")</f>
        <v/>
      </c>
      <c r="AG406" t="str">
        <f>IF('15 - AI DELEGATION'!A28&lt;&gt;"",IF('15 - AI DELEGATION'!I28="","",'15 - AI DELEGATION'!I28),"")</f>
        <v/>
      </c>
      <c r="AH406" t="str">
        <f>IF('15 - AI DELEGATION'!A28&lt;&gt;"",IF('15 - AI DELEGATION'!J28="","",'15 - AI DELEGATION'!J28),"")</f>
        <v/>
      </c>
      <c r="AI406" t="str">
        <f>IF('15 - AI DELEGATION'!A28&lt;&gt;"",IF('15 - AI DELEGATION'!C28="","",'15 - AI DELEGATION'!C28),"")</f>
        <v/>
      </c>
      <c r="AJ406" t="str">
        <f>IF('15 - AI DELEGATION'!A28&lt;&gt;"","15 - AI DELEGATION row 28","")</f>
        <v/>
      </c>
      <c r="AK406">
        <f>IF(AND('15 - AI DELEGATION'!A28&lt;&gt;"",OR('15 - AI DELEGATION'!C28&lt;&gt;"Closed",'15 - AI DELEGATION'!G28&lt;&gt;""),OR(AC406&lt;&gt;"",AD406&lt;&gt;"")),IF(Y406="Critical",1,IF(Y406="Review",2,3))*100000000+IF(ISNUMBER(AF406),AF406,99999)*1000+ROW(),999999999999)</f>
        <v>999999999999</v>
      </c>
      <c r="AL406">
        <f t="shared" si="38"/>
        <v>999999999999</v>
      </c>
      <c r="AM406">
        <f t="shared" si="42"/>
        <v>999999999999</v>
      </c>
      <c r="AN406">
        <f t="shared" si="43"/>
        <v>999999999999</v>
      </c>
      <c r="AO406">
        <f t="shared" si="39"/>
        <v>999999999999</v>
      </c>
      <c r="AP406">
        <f t="shared" si="37"/>
        <v>999999999999</v>
      </c>
      <c r="AQ406">
        <f t="shared" si="44"/>
        <v>999999999999</v>
      </c>
      <c r="AR406">
        <f t="shared" si="40"/>
        <v>0</v>
      </c>
    </row>
    <row r="407" spans="25:44">
      <c r="Y407" t="str">
        <f>IF('15 - AI DELEGATION'!A29&lt;&gt;"",IF('15 - AI DELEGATION'!F29="","",'15 - AI DELEGATION'!F29),"")</f>
        <v/>
      </c>
      <c r="Z407" t="str">
        <f>IF('15 - AI DELEGATION'!A29&lt;&gt;"","AI delegation","")</f>
        <v/>
      </c>
      <c r="AA407" t="str">
        <f>IF('15 - AI DELEGATION'!A29&lt;&gt;"",IF('15 - AI DELEGATION'!A29="","",'15 - AI DELEGATION'!A29),"")</f>
        <v/>
      </c>
      <c r="AB407" t="str">
        <f>IF('15 - AI DELEGATION'!A29&lt;&gt;"",IF('15 - AI DELEGATION'!B29="","",'15 - AI DELEGATION'!B29),"")</f>
        <v/>
      </c>
      <c r="AC407" t="str">
        <f>IF('15 - AI DELEGATION'!A29&lt;&gt;"",IF('15 - AI DELEGATION'!G29="","",'15 - AI DELEGATION'!G29),"")</f>
        <v/>
      </c>
      <c r="AD407" t="str">
        <f>IF('15 - AI DELEGATION'!A29&lt;&gt;"",IF('15 - AI DELEGATION'!H29="","",'15 - AI DELEGATION'!H29),"")</f>
        <v/>
      </c>
      <c r="AE407" t="str">
        <f>IF('15 - AI DELEGATION'!A29&lt;&gt;"",IF('15 - AI DELEGATION'!D29="","",'15 - AI DELEGATION'!D29),"")</f>
        <v/>
      </c>
      <c r="AF407" s="17" t="str">
        <f>IF('15 - AI DELEGATION'!A29&lt;&gt;"",IF('15 - AI DELEGATION'!E29="","",'15 - AI DELEGATION'!E29),"")</f>
        <v/>
      </c>
      <c r="AG407" t="str">
        <f>IF('15 - AI DELEGATION'!A29&lt;&gt;"",IF('15 - AI DELEGATION'!I29="","",'15 - AI DELEGATION'!I29),"")</f>
        <v/>
      </c>
      <c r="AH407" t="str">
        <f>IF('15 - AI DELEGATION'!A29&lt;&gt;"",IF('15 - AI DELEGATION'!J29="","",'15 - AI DELEGATION'!J29),"")</f>
        <v/>
      </c>
      <c r="AI407" t="str">
        <f>IF('15 - AI DELEGATION'!A29&lt;&gt;"",IF('15 - AI DELEGATION'!C29="","",'15 - AI DELEGATION'!C29),"")</f>
        <v/>
      </c>
      <c r="AJ407" t="str">
        <f>IF('15 - AI DELEGATION'!A29&lt;&gt;"","15 - AI DELEGATION row 29","")</f>
        <v/>
      </c>
      <c r="AK407">
        <f>IF(AND('15 - AI DELEGATION'!A29&lt;&gt;"",OR('15 - AI DELEGATION'!C29&lt;&gt;"Closed",'15 - AI DELEGATION'!G29&lt;&gt;""),OR(AC407&lt;&gt;"",AD407&lt;&gt;"")),IF(Y407="Critical",1,IF(Y407="Review",2,3))*100000000+IF(ISNUMBER(AF407),AF407,99999)*1000+ROW(),999999999999)</f>
        <v>999999999999</v>
      </c>
      <c r="AL407">
        <f t="shared" si="38"/>
        <v>999999999999</v>
      </c>
      <c r="AM407">
        <f t="shared" si="42"/>
        <v>999999999999</v>
      </c>
      <c r="AN407">
        <f t="shared" si="43"/>
        <v>999999999999</v>
      </c>
      <c r="AO407">
        <f t="shared" si="39"/>
        <v>999999999999</v>
      </c>
      <c r="AP407">
        <f t="shared" ref="AP407:AP436" si="45">IF(AND(ISNUMBER(AK407),FALSE),AK407,999999999999)</f>
        <v>999999999999</v>
      </c>
      <c r="AQ407">
        <f t="shared" si="44"/>
        <v>999999999999</v>
      </c>
      <c r="AR407">
        <f t="shared" si="40"/>
        <v>0</v>
      </c>
    </row>
    <row r="408" spans="25:44">
      <c r="Y408" t="str">
        <f>IF('15 - AI DELEGATION'!A30&lt;&gt;"",IF('15 - AI DELEGATION'!F30="","",'15 - AI DELEGATION'!F30),"")</f>
        <v/>
      </c>
      <c r="Z408" t="str">
        <f>IF('15 - AI DELEGATION'!A30&lt;&gt;"","AI delegation","")</f>
        <v/>
      </c>
      <c r="AA408" t="str">
        <f>IF('15 - AI DELEGATION'!A30&lt;&gt;"",IF('15 - AI DELEGATION'!A30="","",'15 - AI DELEGATION'!A30),"")</f>
        <v/>
      </c>
      <c r="AB408" t="str">
        <f>IF('15 - AI DELEGATION'!A30&lt;&gt;"",IF('15 - AI DELEGATION'!B30="","",'15 - AI DELEGATION'!B30),"")</f>
        <v/>
      </c>
      <c r="AC408" t="str">
        <f>IF('15 - AI DELEGATION'!A30&lt;&gt;"",IF('15 - AI DELEGATION'!G30="","",'15 - AI DELEGATION'!G30),"")</f>
        <v/>
      </c>
      <c r="AD408" t="str">
        <f>IF('15 - AI DELEGATION'!A30&lt;&gt;"",IF('15 - AI DELEGATION'!H30="","",'15 - AI DELEGATION'!H30),"")</f>
        <v/>
      </c>
      <c r="AE408" t="str">
        <f>IF('15 - AI DELEGATION'!A30&lt;&gt;"",IF('15 - AI DELEGATION'!D30="","",'15 - AI DELEGATION'!D30),"")</f>
        <v/>
      </c>
      <c r="AF408" s="17" t="str">
        <f>IF('15 - AI DELEGATION'!A30&lt;&gt;"",IF('15 - AI DELEGATION'!E30="","",'15 - AI DELEGATION'!E30),"")</f>
        <v/>
      </c>
      <c r="AG408" t="str">
        <f>IF('15 - AI DELEGATION'!A30&lt;&gt;"",IF('15 - AI DELEGATION'!I30="","",'15 - AI DELEGATION'!I30),"")</f>
        <v/>
      </c>
      <c r="AH408" t="str">
        <f>IF('15 - AI DELEGATION'!A30&lt;&gt;"",IF('15 - AI DELEGATION'!J30="","",'15 - AI DELEGATION'!J30),"")</f>
        <v/>
      </c>
      <c r="AI408" t="str">
        <f>IF('15 - AI DELEGATION'!A30&lt;&gt;"",IF('15 - AI DELEGATION'!C30="","",'15 - AI DELEGATION'!C30),"")</f>
        <v/>
      </c>
      <c r="AJ408" t="str">
        <f>IF('15 - AI DELEGATION'!A30&lt;&gt;"","15 - AI DELEGATION row 30","")</f>
        <v/>
      </c>
      <c r="AK408">
        <f>IF(AND('15 - AI DELEGATION'!A30&lt;&gt;"",OR('15 - AI DELEGATION'!C30&lt;&gt;"Closed",'15 - AI DELEGATION'!G30&lt;&gt;""),OR(AC408&lt;&gt;"",AD408&lt;&gt;"")),IF(Y408="Critical",1,IF(Y408="Review",2,3))*100000000+IF(ISNUMBER(AF408),AF408,99999)*1000+ROW(),999999999999)</f>
        <v>999999999999</v>
      </c>
      <c r="AL408">
        <f t="shared" si="38"/>
        <v>999999999999</v>
      </c>
      <c r="AM408">
        <f t="shared" si="42"/>
        <v>999999999999</v>
      </c>
      <c r="AN408">
        <f t="shared" si="43"/>
        <v>999999999999</v>
      </c>
      <c r="AO408">
        <f t="shared" si="39"/>
        <v>999999999999</v>
      </c>
      <c r="AP408">
        <f t="shared" si="45"/>
        <v>999999999999</v>
      </c>
      <c r="AQ408">
        <f t="shared" si="44"/>
        <v>999999999999</v>
      </c>
      <c r="AR408">
        <f t="shared" si="40"/>
        <v>0</v>
      </c>
    </row>
    <row r="409" spans="25:44">
      <c r="Y409" t="str">
        <f>IF('15 - AI DELEGATION'!A31&lt;&gt;"",IF('15 - AI DELEGATION'!F31="","",'15 - AI DELEGATION'!F31),"")</f>
        <v/>
      </c>
      <c r="Z409" t="str">
        <f>IF('15 - AI DELEGATION'!A31&lt;&gt;"","AI delegation","")</f>
        <v/>
      </c>
      <c r="AA409" t="str">
        <f>IF('15 - AI DELEGATION'!A31&lt;&gt;"",IF('15 - AI DELEGATION'!A31="","",'15 - AI DELEGATION'!A31),"")</f>
        <v/>
      </c>
      <c r="AB409" t="str">
        <f>IF('15 - AI DELEGATION'!A31&lt;&gt;"",IF('15 - AI DELEGATION'!B31="","",'15 - AI DELEGATION'!B31),"")</f>
        <v/>
      </c>
      <c r="AC409" t="str">
        <f>IF('15 - AI DELEGATION'!A31&lt;&gt;"",IF('15 - AI DELEGATION'!G31="","",'15 - AI DELEGATION'!G31),"")</f>
        <v/>
      </c>
      <c r="AD409" t="str">
        <f>IF('15 - AI DELEGATION'!A31&lt;&gt;"",IF('15 - AI DELEGATION'!H31="","",'15 - AI DELEGATION'!H31),"")</f>
        <v/>
      </c>
      <c r="AE409" t="str">
        <f>IF('15 - AI DELEGATION'!A31&lt;&gt;"",IF('15 - AI DELEGATION'!D31="","",'15 - AI DELEGATION'!D31),"")</f>
        <v/>
      </c>
      <c r="AF409" s="17" t="str">
        <f>IF('15 - AI DELEGATION'!A31&lt;&gt;"",IF('15 - AI DELEGATION'!E31="","",'15 - AI DELEGATION'!E31),"")</f>
        <v/>
      </c>
      <c r="AG409" t="str">
        <f>IF('15 - AI DELEGATION'!A31&lt;&gt;"",IF('15 - AI DELEGATION'!I31="","",'15 - AI DELEGATION'!I31),"")</f>
        <v/>
      </c>
      <c r="AH409" t="str">
        <f>IF('15 - AI DELEGATION'!A31&lt;&gt;"",IF('15 - AI DELEGATION'!J31="","",'15 - AI DELEGATION'!J31),"")</f>
        <v/>
      </c>
      <c r="AI409" t="str">
        <f>IF('15 - AI DELEGATION'!A31&lt;&gt;"",IF('15 - AI DELEGATION'!C31="","",'15 - AI DELEGATION'!C31),"")</f>
        <v/>
      </c>
      <c r="AJ409" t="str">
        <f>IF('15 - AI DELEGATION'!A31&lt;&gt;"","15 - AI DELEGATION row 31","")</f>
        <v/>
      </c>
      <c r="AK409">
        <f>IF(AND('15 - AI DELEGATION'!A31&lt;&gt;"",OR('15 - AI DELEGATION'!C31&lt;&gt;"Closed",'15 - AI DELEGATION'!G31&lt;&gt;""),OR(AC409&lt;&gt;"",AD409&lt;&gt;"")),IF(Y409="Critical",1,IF(Y409="Review",2,3))*100000000+IF(ISNUMBER(AF409),AF409,99999)*1000+ROW(),999999999999)</f>
        <v>999999999999</v>
      </c>
      <c r="AL409">
        <f t="shared" si="38"/>
        <v>999999999999</v>
      </c>
      <c r="AM409">
        <f t="shared" si="42"/>
        <v>999999999999</v>
      </c>
      <c r="AN409">
        <f t="shared" si="43"/>
        <v>999999999999</v>
      </c>
      <c r="AO409">
        <f t="shared" si="39"/>
        <v>999999999999</v>
      </c>
      <c r="AP409">
        <f t="shared" si="45"/>
        <v>999999999999</v>
      </c>
      <c r="AQ409">
        <f t="shared" si="44"/>
        <v>999999999999</v>
      </c>
      <c r="AR409">
        <f t="shared" si="40"/>
        <v>0</v>
      </c>
    </row>
    <row r="410" spans="25:44">
      <c r="Y410" t="str">
        <f>IF('15 - AI DELEGATION'!A32&lt;&gt;"",IF('15 - AI DELEGATION'!F32="","",'15 - AI DELEGATION'!F32),"")</f>
        <v/>
      </c>
      <c r="Z410" t="str">
        <f>IF('15 - AI DELEGATION'!A32&lt;&gt;"","AI delegation","")</f>
        <v/>
      </c>
      <c r="AA410" t="str">
        <f>IF('15 - AI DELEGATION'!A32&lt;&gt;"",IF('15 - AI DELEGATION'!A32="","",'15 - AI DELEGATION'!A32),"")</f>
        <v/>
      </c>
      <c r="AB410" t="str">
        <f>IF('15 - AI DELEGATION'!A32&lt;&gt;"",IF('15 - AI DELEGATION'!B32="","",'15 - AI DELEGATION'!B32),"")</f>
        <v/>
      </c>
      <c r="AC410" t="str">
        <f>IF('15 - AI DELEGATION'!A32&lt;&gt;"",IF('15 - AI DELEGATION'!G32="","",'15 - AI DELEGATION'!G32),"")</f>
        <v/>
      </c>
      <c r="AD410" t="str">
        <f>IF('15 - AI DELEGATION'!A32&lt;&gt;"",IF('15 - AI DELEGATION'!H32="","",'15 - AI DELEGATION'!H32),"")</f>
        <v/>
      </c>
      <c r="AE410" t="str">
        <f>IF('15 - AI DELEGATION'!A32&lt;&gt;"",IF('15 - AI DELEGATION'!D32="","",'15 - AI DELEGATION'!D32),"")</f>
        <v/>
      </c>
      <c r="AF410" s="17" t="str">
        <f>IF('15 - AI DELEGATION'!A32&lt;&gt;"",IF('15 - AI DELEGATION'!E32="","",'15 - AI DELEGATION'!E32),"")</f>
        <v/>
      </c>
      <c r="AG410" t="str">
        <f>IF('15 - AI DELEGATION'!A32&lt;&gt;"",IF('15 - AI DELEGATION'!I32="","",'15 - AI DELEGATION'!I32),"")</f>
        <v/>
      </c>
      <c r="AH410" t="str">
        <f>IF('15 - AI DELEGATION'!A32&lt;&gt;"",IF('15 - AI DELEGATION'!J32="","",'15 - AI DELEGATION'!J32),"")</f>
        <v/>
      </c>
      <c r="AI410" t="str">
        <f>IF('15 - AI DELEGATION'!A32&lt;&gt;"",IF('15 - AI DELEGATION'!C32="","",'15 - AI DELEGATION'!C32),"")</f>
        <v/>
      </c>
      <c r="AJ410" t="str">
        <f>IF('15 - AI DELEGATION'!A32&lt;&gt;"","15 - AI DELEGATION row 32","")</f>
        <v/>
      </c>
      <c r="AK410">
        <f>IF(AND('15 - AI DELEGATION'!A32&lt;&gt;"",OR('15 - AI DELEGATION'!C32&lt;&gt;"Closed",'15 - AI DELEGATION'!G32&lt;&gt;""),OR(AC410&lt;&gt;"",AD410&lt;&gt;"")),IF(Y410="Critical",1,IF(Y410="Review",2,3))*100000000+IF(ISNUMBER(AF410),AF410,99999)*1000+ROW(),999999999999)</f>
        <v>999999999999</v>
      </c>
      <c r="AL410">
        <f t="shared" si="38"/>
        <v>999999999999</v>
      </c>
      <c r="AM410">
        <f t="shared" si="42"/>
        <v>999999999999</v>
      </c>
      <c r="AN410">
        <f t="shared" si="43"/>
        <v>999999999999</v>
      </c>
      <c r="AO410">
        <f t="shared" si="39"/>
        <v>999999999999</v>
      </c>
      <c r="AP410">
        <f t="shared" si="45"/>
        <v>999999999999</v>
      </c>
      <c r="AQ410">
        <f t="shared" si="44"/>
        <v>999999999999</v>
      </c>
      <c r="AR410">
        <f t="shared" si="40"/>
        <v>0</v>
      </c>
    </row>
    <row r="411" spans="25:44">
      <c r="Y411" t="str">
        <f>IF('15 - AI DELEGATION'!A33&lt;&gt;"",IF('15 - AI DELEGATION'!F33="","",'15 - AI DELEGATION'!F33),"")</f>
        <v/>
      </c>
      <c r="Z411" t="str">
        <f>IF('15 - AI DELEGATION'!A33&lt;&gt;"","AI delegation","")</f>
        <v/>
      </c>
      <c r="AA411" t="str">
        <f>IF('15 - AI DELEGATION'!A33&lt;&gt;"",IF('15 - AI DELEGATION'!A33="","",'15 - AI DELEGATION'!A33),"")</f>
        <v/>
      </c>
      <c r="AB411" t="str">
        <f>IF('15 - AI DELEGATION'!A33&lt;&gt;"",IF('15 - AI DELEGATION'!B33="","",'15 - AI DELEGATION'!B33),"")</f>
        <v/>
      </c>
      <c r="AC411" t="str">
        <f>IF('15 - AI DELEGATION'!A33&lt;&gt;"",IF('15 - AI DELEGATION'!G33="","",'15 - AI DELEGATION'!G33),"")</f>
        <v/>
      </c>
      <c r="AD411" t="str">
        <f>IF('15 - AI DELEGATION'!A33&lt;&gt;"",IF('15 - AI DELEGATION'!H33="","",'15 - AI DELEGATION'!H33),"")</f>
        <v/>
      </c>
      <c r="AE411" t="str">
        <f>IF('15 - AI DELEGATION'!A33&lt;&gt;"",IF('15 - AI DELEGATION'!D33="","",'15 - AI DELEGATION'!D33),"")</f>
        <v/>
      </c>
      <c r="AF411" s="17" t="str">
        <f>IF('15 - AI DELEGATION'!A33&lt;&gt;"",IF('15 - AI DELEGATION'!E33="","",'15 - AI DELEGATION'!E33),"")</f>
        <v/>
      </c>
      <c r="AG411" t="str">
        <f>IF('15 - AI DELEGATION'!A33&lt;&gt;"",IF('15 - AI DELEGATION'!I33="","",'15 - AI DELEGATION'!I33),"")</f>
        <v/>
      </c>
      <c r="AH411" t="str">
        <f>IF('15 - AI DELEGATION'!A33&lt;&gt;"",IF('15 - AI DELEGATION'!J33="","",'15 - AI DELEGATION'!J33),"")</f>
        <v/>
      </c>
      <c r="AI411" t="str">
        <f>IF('15 - AI DELEGATION'!A33&lt;&gt;"",IF('15 - AI DELEGATION'!C33="","",'15 - AI DELEGATION'!C33),"")</f>
        <v/>
      </c>
      <c r="AJ411" t="str">
        <f>IF('15 - AI DELEGATION'!A33&lt;&gt;"","15 - AI DELEGATION row 33","")</f>
        <v/>
      </c>
      <c r="AK411">
        <f>IF(AND('15 - AI DELEGATION'!A33&lt;&gt;"",OR('15 - AI DELEGATION'!C33&lt;&gt;"Closed",'15 - AI DELEGATION'!G33&lt;&gt;""),OR(AC411&lt;&gt;"",AD411&lt;&gt;"")),IF(Y411="Critical",1,IF(Y411="Review",2,3))*100000000+IF(ISNUMBER(AF411),AF411,99999)*1000+ROW(),999999999999)</f>
        <v>999999999999</v>
      </c>
      <c r="AL411">
        <f t="shared" si="38"/>
        <v>999999999999</v>
      </c>
      <c r="AM411">
        <f t="shared" si="42"/>
        <v>999999999999</v>
      </c>
      <c r="AN411">
        <f t="shared" si="43"/>
        <v>999999999999</v>
      </c>
      <c r="AO411">
        <f t="shared" si="39"/>
        <v>999999999999</v>
      </c>
      <c r="AP411">
        <f t="shared" si="45"/>
        <v>999999999999</v>
      </c>
      <c r="AQ411">
        <f t="shared" si="44"/>
        <v>999999999999</v>
      </c>
      <c r="AR411">
        <f t="shared" si="40"/>
        <v>0</v>
      </c>
    </row>
    <row r="412" spans="25:44">
      <c r="Y412" t="str">
        <f>IF('15 - AI DELEGATION'!A34&lt;&gt;"",IF('15 - AI DELEGATION'!F34="","",'15 - AI DELEGATION'!F34),"")</f>
        <v/>
      </c>
      <c r="Z412" t="str">
        <f>IF('15 - AI DELEGATION'!A34&lt;&gt;"","AI delegation","")</f>
        <v/>
      </c>
      <c r="AA412" t="str">
        <f>IF('15 - AI DELEGATION'!A34&lt;&gt;"",IF('15 - AI DELEGATION'!A34="","",'15 - AI DELEGATION'!A34),"")</f>
        <v/>
      </c>
      <c r="AB412" t="str">
        <f>IF('15 - AI DELEGATION'!A34&lt;&gt;"",IF('15 - AI DELEGATION'!B34="","",'15 - AI DELEGATION'!B34),"")</f>
        <v/>
      </c>
      <c r="AC412" t="str">
        <f>IF('15 - AI DELEGATION'!A34&lt;&gt;"",IF('15 - AI DELEGATION'!G34="","",'15 - AI DELEGATION'!G34),"")</f>
        <v/>
      </c>
      <c r="AD412" t="str">
        <f>IF('15 - AI DELEGATION'!A34&lt;&gt;"",IF('15 - AI DELEGATION'!H34="","",'15 - AI DELEGATION'!H34),"")</f>
        <v/>
      </c>
      <c r="AE412" t="str">
        <f>IF('15 - AI DELEGATION'!A34&lt;&gt;"",IF('15 - AI DELEGATION'!D34="","",'15 - AI DELEGATION'!D34),"")</f>
        <v/>
      </c>
      <c r="AF412" s="17" t="str">
        <f>IF('15 - AI DELEGATION'!A34&lt;&gt;"",IF('15 - AI DELEGATION'!E34="","",'15 - AI DELEGATION'!E34),"")</f>
        <v/>
      </c>
      <c r="AG412" t="str">
        <f>IF('15 - AI DELEGATION'!A34&lt;&gt;"",IF('15 - AI DELEGATION'!I34="","",'15 - AI DELEGATION'!I34),"")</f>
        <v/>
      </c>
      <c r="AH412" t="str">
        <f>IF('15 - AI DELEGATION'!A34&lt;&gt;"",IF('15 - AI DELEGATION'!J34="","",'15 - AI DELEGATION'!J34),"")</f>
        <v/>
      </c>
      <c r="AI412" t="str">
        <f>IF('15 - AI DELEGATION'!A34&lt;&gt;"",IF('15 - AI DELEGATION'!C34="","",'15 - AI DELEGATION'!C34),"")</f>
        <v/>
      </c>
      <c r="AJ412" t="str">
        <f>IF('15 - AI DELEGATION'!A34&lt;&gt;"","15 - AI DELEGATION row 34","")</f>
        <v/>
      </c>
      <c r="AK412">
        <f>IF(AND('15 - AI DELEGATION'!A34&lt;&gt;"",OR('15 - AI DELEGATION'!C34&lt;&gt;"Closed",'15 - AI DELEGATION'!G34&lt;&gt;""),OR(AC412&lt;&gt;"",AD412&lt;&gt;"")),IF(Y412="Critical",1,IF(Y412="Review",2,3))*100000000+IF(ISNUMBER(AF412),AF412,99999)*1000+ROW(),999999999999)</f>
        <v>999999999999</v>
      </c>
      <c r="AL412">
        <f t="shared" si="38"/>
        <v>999999999999</v>
      </c>
      <c r="AM412">
        <f t="shared" si="42"/>
        <v>999999999999</v>
      </c>
      <c r="AN412">
        <f t="shared" si="43"/>
        <v>999999999999</v>
      </c>
      <c r="AO412">
        <f t="shared" si="39"/>
        <v>999999999999</v>
      </c>
      <c r="AP412">
        <f t="shared" si="45"/>
        <v>999999999999</v>
      </c>
      <c r="AQ412">
        <f t="shared" si="44"/>
        <v>999999999999</v>
      </c>
      <c r="AR412">
        <f t="shared" si="40"/>
        <v>0</v>
      </c>
    </row>
    <row r="413" spans="25:44">
      <c r="Y413" t="str">
        <f>IF('15 - AI DELEGATION'!A35&lt;&gt;"",IF('15 - AI DELEGATION'!F35="","",'15 - AI DELEGATION'!F35),"")</f>
        <v/>
      </c>
      <c r="Z413" t="str">
        <f>IF('15 - AI DELEGATION'!A35&lt;&gt;"","AI delegation","")</f>
        <v/>
      </c>
      <c r="AA413" t="str">
        <f>IF('15 - AI DELEGATION'!A35&lt;&gt;"",IF('15 - AI DELEGATION'!A35="","",'15 - AI DELEGATION'!A35),"")</f>
        <v/>
      </c>
      <c r="AB413" t="str">
        <f>IF('15 - AI DELEGATION'!A35&lt;&gt;"",IF('15 - AI DELEGATION'!B35="","",'15 - AI DELEGATION'!B35),"")</f>
        <v/>
      </c>
      <c r="AC413" t="str">
        <f>IF('15 - AI DELEGATION'!A35&lt;&gt;"",IF('15 - AI DELEGATION'!G35="","",'15 - AI DELEGATION'!G35),"")</f>
        <v/>
      </c>
      <c r="AD413" t="str">
        <f>IF('15 - AI DELEGATION'!A35&lt;&gt;"",IF('15 - AI DELEGATION'!H35="","",'15 - AI DELEGATION'!H35),"")</f>
        <v/>
      </c>
      <c r="AE413" t="str">
        <f>IF('15 - AI DELEGATION'!A35&lt;&gt;"",IF('15 - AI DELEGATION'!D35="","",'15 - AI DELEGATION'!D35),"")</f>
        <v/>
      </c>
      <c r="AF413" s="17" t="str">
        <f>IF('15 - AI DELEGATION'!A35&lt;&gt;"",IF('15 - AI DELEGATION'!E35="","",'15 - AI DELEGATION'!E35),"")</f>
        <v/>
      </c>
      <c r="AG413" t="str">
        <f>IF('15 - AI DELEGATION'!A35&lt;&gt;"",IF('15 - AI DELEGATION'!I35="","",'15 - AI DELEGATION'!I35),"")</f>
        <v/>
      </c>
      <c r="AH413" t="str">
        <f>IF('15 - AI DELEGATION'!A35&lt;&gt;"",IF('15 - AI DELEGATION'!J35="","",'15 - AI DELEGATION'!J35),"")</f>
        <v/>
      </c>
      <c r="AI413" t="str">
        <f>IF('15 - AI DELEGATION'!A35&lt;&gt;"",IF('15 - AI DELEGATION'!C35="","",'15 - AI DELEGATION'!C35),"")</f>
        <v/>
      </c>
      <c r="AJ413" t="str">
        <f>IF('15 - AI DELEGATION'!A35&lt;&gt;"","15 - AI DELEGATION row 35","")</f>
        <v/>
      </c>
      <c r="AK413">
        <f>IF(AND('15 - AI DELEGATION'!A35&lt;&gt;"",OR('15 - AI DELEGATION'!C35&lt;&gt;"Closed",'15 - AI DELEGATION'!G35&lt;&gt;""),OR(AC413&lt;&gt;"",AD413&lt;&gt;"")),IF(Y413="Critical",1,IF(Y413="Review",2,3))*100000000+IF(ISNUMBER(AF413),AF413,99999)*1000+ROW(),999999999999)</f>
        <v>999999999999</v>
      </c>
      <c r="AL413">
        <f t="shared" si="38"/>
        <v>999999999999</v>
      </c>
      <c r="AM413">
        <f t="shared" si="42"/>
        <v>999999999999</v>
      </c>
      <c r="AN413">
        <f t="shared" si="43"/>
        <v>999999999999</v>
      </c>
      <c r="AO413">
        <f t="shared" si="39"/>
        <v>999999999999</v>
      </c>
      <c r="AP413">
        <f t="shared" si="45"/>
        <v>999999999999</v>
      </c>
      <c r="AQ413">
        <f t="shared" si="44"/>
        <v>999999999999</v>
      </c>
      <c r="AR413">
        <f t="shared" si="40"/>
        <v>0</v>
      </c>
    </row>
    <row r="414" spans="25:44">
      <c r="Y414" t="str">
        <f>IF('15 - AI DELEGATION'!A36&lt;&gt;"",IF('15 - AI DELEGATION'!F36="","",'15 - AI DELEGATION'!F36),"")</f>
        <v/>
      </c>
      <c r="Z414" t="str">
        <f>IF('15 - AI DELEGATION'!A36&lt;&gt;"","AI delegation","")</f>
        <v/>
      </c>
      <c r="AA414" t="str">
        <f>IF('15 - AI DELEGATION'!A36&lt;&gt;"",IF('15 - AI DELEGATION'!A36="","",'15 - AI DELEGATION'!A36),"")</f>
        <v/>
      </c>
      <c r="AB414" t="str">
        <f>IF('15 - AI DELEGATION'!A36&lt;&gt;"",IF('15 - AI DELEGATION'!B36="","",'15 - AI DELEGATION'!B36),"")</f>
        <v/>
      </c>
      <c r="AC414" t="str">
        <f>IF('15 - AI DELEGATION'!A36&lt;&gt;"",IF('15 - AI DELEGATION'!G36="","",'15 - AI DELEGATION'!G36),"")</f>
        <v/>
      </c>
      <c r="AD414" t="str">
        <f>IF('15 - AI DELEGATION'!A36&lt;&gt;"",IF('15 - AI DELEGATION'!H36="","",'15 - AI DELEGATION'!H36),"")</f>
        <v/>
      </c>
      <c r="AE414" t="str">
        <f>IF('15 - AI DELEGATION'!A36&lt;&gt;"",IF('15 - AI DELEGATION'!D36="","",'15 - AI DELEGATION'!D36),"")</f>
        <v/>
      </c>
      <c r="AF414" s="17" t="str">
        <f>IF('15 - AI DELEGATION'!A36&lt;&gt;"",IF('15 - AI DELEGATION'!E36="","",'15 - AI DELEGATION'!E36),"")</f>
        <v/>
      </c>
      <c r="AG414" t="str">
        <f>IF('15 - AI DELEGATION'!A36&lt;&gt;"",IF('15 - AI DELEGATION'!I36="","",'15 - AI DELEGATION'!I36),"")</f>
        <v/>
      </c>
      <c r="AH414" t="str">
        <f>IF('15 - AI DELEGATION'!A36&lt;&gt;"",IF('15 - AI DELEGATION'!J36="","",'15 - AI DELEGATION'!J36),"")</f>
        <v/>
      </c>
      <c r="AI414" t="str">
        <f>IF('15 - AI DELEGATION'!A36&lt;&gt;"",IF('15 - AI DELEGATION'!C36="","",'15 - AI DELEGATION'!C36),"")</f>
        <v/>
      </c>
      <c r="AJ414" t="str">
        <f>IF('15 - AI DELEGATION'!A36&lt;&gt;"","15 - AI DELEGATION row 36","")</f>
        <v/>
      </c>
      <c r="AK414">
        <f>IF(AND('15 - AI DELEGATION'!A36&lt;&gt;"",OR('15 - AI DELEGATION'!C36&lt;&gt;"Closed",'15 - AI DELEGATION'!G36&lt;&gt;""),OR(AC414&lt;&gt;"",AD414&lt;&gt;"")),IF(Y414="Critical",1,IF(Y414="Review",2,3))*100000000+IF(ISNUMBER(AF414),AF414,99999)*1000+ROW(),999999999999)</f>
        <v>999999999999</v>
      </c>
      <c r="AL414">
        <f t="shared" ref="AL414:AL436" si="46">IF(AND(ISNUMBER(AK414),Y414="Critical"),AK414,999999999999)</f>
        <v>999999999999</v>
      </c>
      <c r="AM414">
        <f t="shared" si="42"/>
        <v>999999999999</v>
      </c>
      <c r="AN414">
        <f t="shared" si="43"/>
        <v>999999999999</v>
      </c>
      <c r="AO414">
        <f t="shared" ref="AO414:AO436" si="47">IF(AND(ISNUMBER(AK414),ISNUMBER(AF414),AF414&gt;=ReviewDate,AF414&lt;=ReviewDate+Upcoming),AF414*1000+ROW(),999999999999)</f>
        <v>999999999999</v>
      </c>
      <c r="AP414">
        <f t="shared" si="45"/>
        <v>999999999999</v>
      </c>
      <c r="AQ414">
        <f t="shared" si="44"/>
        <v>999999999999</v>
      </c>
      <c r="AR414">
        <f t="shared" ref="AR414:AR436" si="48">IF(AC414&lt;&gt;"",1,0)</f>
        <v>0</v>
      </c>
    </row>
    <row r="415" spans="25:44">
      <c r="Y415" t="str">
        <f>IF('15 - AI DELEGATION'!A37&lt;&gt;"",IF('15 - AI DELEGATION'!F37="","",'15 - AI DELEGATION'!F37),"")</f>
        <v/>
      </c>
      <c r="Z415" t="str">
        <f>IF('15 - AI DELEGATION'!A37&lt;&gt;"","AI delegation","")</f>
        <v/>
      </c>
      <c r="AA415" t="str">
        <f>IF('15 - AI DELEGATION'!A37&lt;&gt;"",IF('15 - AI DELEGATION'!A37="","",'15 - AI DELEGATION'!A37),"")</f>
        <v/>
      </c>
      <c r="AB415" t="str">
        <f>IF('15 - AI DELEGATION'!A37&lt;&gt;"",IF('15 - AI DELEGATION'!B37="","",'15 - AI DELEGATION'!B37),"")</f>
        <v/>
      </c>
      <c r="AC415" t="str">
        <f>IF('15 - AI DELEGATION'!A37&lt;&gt;"",IF('15 - AI DELEGATION'!G37="","",'15 - AI DELEGATION'!G37),"")</f>
        <v/>
      </c>
      <c r="AD415" t="str">
        <f>IF('15 - AI DELEGATION'!A37&lt;&gt;"",IF('15 - AI DELEGATION'!H37="","",'15 - AI DELEGATION'!H37),"")</f>
        <v/>
      </c>
      <c r="AE415" t="str">
        <f>IF('15 - AI DELEGATION'!A37&lt;&gt;"",IF('15 - AI DELEGATION'!D37="","",'15 - AI DELEGATION'!D37),"")</f>
        <v/>
      </c>
      <c r="AF415" s="17" t="str">
        <f>IF('15 - AI DELEGATION'!A37&lt;&gt;"",IF('15 - AI DELEGATION'!E37="","",'15 - AI DELEGATION'!E37),"")</f>
        <v/>
      </c>
      <c r="AG415" t="str">
        <f>IF('15 - AI DELEGATION'!A37&lt;&gt;"",IF('15 - AI DELEGATION'!I37="","",'15 - AI DELEGATION'!I37),"")</f>
        <v/>
      </c>
      <c r="AH415" t="str">
        <f>IF('15 - AI DELEGATION'!A37&lt;&gt;"",IF('15 - AI DELEGATION'!J37="","",'15 - AI DELEGATION'!J37),"")</f>
        <v/>
      </c>
      <c r="AI415" t="str">
        <f>IF('15 - AI DELEGATION'!A37&lt;&gt;"",IF('15 - AI DELEGATION'!C37="","",'15 - AI DELEGATION'!C37),"")</f>
        <v/>
      </c>
      <c r="AJ415" t="str">
        <f>IF('15 - AI DELEGATION'!A37&lt;&gt;"","15 - AI DELEGATION row 37","")</f>
        <v/>
      </c>
      <c r="AK415">
        <f>IF(AND('15 - AI DELEGATION'!A37&lt;&gt;"",OR('15 - AI DELEGATION'!C37&lt;&gt;"Closed",'15 - AI DELEGATION'!G37&lt;&gt;""),OR(AC415&lt;&gt;"",AD415&lt;&gt;"")),IF(Y415="Critical",1,IF(Y415="Review",2,3))*100000000+IF(ISNUMBER(AF415),AF415,99999)*1000+ROW(),999999999999)</f>
        <v>999999999999</v>
      </c>
      <c r="AL415">
        <f t="shared" si="46"/>
        <v>999999999999</v>
      </c>
      <c r="AM415">
        <f t="shared" si="42"/>
        <v>999999999999</v>
      </c>
      <c r="AN415">
        <f t="shared" ref="AN415:AN436" si="49">IF(AND(ISNUMBER(AK415),FALSE),AK415,999999999999)</f>
        <v>999999999999</v>
      </c>
      <c r="AO415">
        <f t="shared" si="47"/>
        <v>999999999999</v>
      </c>
      <c r="AP415">
        <f t="shared" si="45"/>
        <v>999999999999</v>
      </c>
      <c r="AQ415">
        <f t="shared" si="44"/>
        <v>999999999999</v>
      </c>
      <c r="AR415">
        <f t="shared" si="48"/>
        <v>0</v>
      </c>
    </row>
    <row r="416" spans="25:44">
      <c r="Y416" t="str">
        <f>IF('15 - AI DELEGATION'!A38&lt;&gt;"",IF('15 - AI DELEGATION'!F38="","",'15 - AI DELEGATION'!F38),"")</f>
        <v/>
      </c>
      <c r="Z416" t="str">
        <f>IF('15 - AI DELEGATION'!A38&lt;&gt;"","AI delegation","")</f>
        <v/>
      </c>
      <c r="AA416" t="str">
        <f>IF('15 - AI DELEGATION'!A38&lt;&gt;"",IF('15 - AI DELEGATION'!A38="","",'15 - AI DELEGATION'!A38),"")</f>
        <v/>
      </c>
      <c r="AB416" t="str">
        <f>IF('15 - AI DELEGATION'!A38&lt;&gt;"",IF('15 - AI DELEGATION'!B38="","",'15 - AI DELEGATION'!B38),"")</f>
        <v/>
      </c>
      <c r="AC416" t="str">
        <f>IF('15 - AI DELEGATION'!A38&lt;&gt;"",IF('15 - AI DELEGATION'!G38="","",'15 - AI DELEGATION'!G38),"")</f>
        <v/>
      </c>
      <c r="AD416" t="str">
        <f>IF('15 - AI DELEGATION'!A38&lt;&gt;"",IF('15 - AI DELEGATION'!H38="","",'15 - AI DELEGATION'!H38),"")</f>
        <v/>
      </c>
      <c r="AE416" t="str">
        <f>IF('15 - AI DELEGATION'!A38&lt;&gt;"",IF('15 - AI DELEGATION'!D38="","",'15 - AI DELEGATION'!D38),"")</f>
        <v/>
      </c>
      <c r="AF416" s="17" t="str">
        <f>IF('15 - AI DELEGATION'!A38&lt;&gt;"",IF('15 - AI DELEGATION'!E38="","",'15 - AI DELEGATION'!E38),"")</f>
        <v/>
      </c>
      <c r="AG416" t="str">
        <f>IF('15 - AI DELEGATION'!A38&lt;&gt;"",IF('15 - AI DELEGATION'!I38="","",'15 - AI DELEGATION'!I38),"")</f>
        <v/>
      </c>
      <c r="AH416" t="str">
        <f>IF('15 - AI DELEGATION'!A38&lt;&gt;"",IF('15 - AI DELEGATION'!J38="","",'15 - AI DELEGATION'!J38),"")</f>
        <v/>
      </c>
      <c r="AI416" t="str">
        <f>IF('15 - AI DELEGATION'!A38&lt;&gt;"",IF('15 - AI DELEGATION'!C38="","",'15 - AI DELEGATION'!C38),"")</f>
        <v/>
      </c>
      <c r="AJ416" t="str">
        <f>IF('15 - AI DELEGATION'!A38&lt;&gt;"","15 - AI DELEGATION row 38","")</f>
        <v/>
      </c>
      <c r="AK416">
        <f>IF(AND('15 - AI DELEGATION'!A38&lt;&gt;"",OR('15 - AI DELEGATION'!C38&lt;&gt;"Closed",'15 - AI DELEGATION'!G38&lt;&gt;""),OR(AC416&lt;&gt;"",AD416&lt;&gt;"")),IF(Y416="Critical",1,IF(Y416="Review",2,3))*100000000+IF(ISNUMBER(AF416),AF416,99999)*1000+ROW(),999999999999)</f>
        <v>999999999999</v>
      </c>
      <c r="AL416">
        <f t="shared" si="46"/>
        <v>999999999999</v>
      </c>
      <c r="AM416">
        <f t="shared" si="42"/>
        <v>999999999999</v>
      </c>
      <c r="AN416">
        <f t="shared" si="49"/>
        <v>999999999999</v>
      </c>
      <c r="AO416">
        <f t="shared" si="47"/>
        <v>999999999999</v>
      </c>
      <c r="AP416">
        <f t="shared" si="45"/>
        <v>999999999999</v>
      </c>
      <c r="AQ416">
        <f t="shared" si="44"/>
        <v>999999999999</v>
      </c>
      <c r="AR416">
        <f t="shared" si="48"/>
        <v>0</v>
      </c>
    </row>
    <row r="417" spans="25:44">
      <c r="Y417" t="str">
        <f>IF('15 - AI DELEGATION'!A39&lt;&gt;"",IF('15 - AI DELEGATION'!F39="","",'15 - AI DELEGATION'!F39),"")</f>
        <v/>
      </c>
      <c r="Z417" t="str">
        <f>IF('15 - AI DELEGATION'!A39&lt;&gt;"","AI delegation","")</f>
        <v/>
      </c>
      <c r="AA417" t="str">
        <f>IF('15 - AI DELEGATION'!A39&lt;&gt;"",IF('15 - AI DELEGATION'!A39="","",'15 - AI DELEGATION'!A39),"")</f>
        <v/>
      </c>
      <c r="AB417" t="str">
        <f>IF('15 - AI DELEGATION'!A39&lt;&gt;"",IF('15 - AI DELEGATION'!B39="","",'15 - AI DELEGATION'!B39),"")</f>
        <v/>
      </c>
      <c r="AC417" t="str">
        <f>IF('15 - AI DELEGATION'!A39&lt;&gt;"",IF('15 - AI DELEGATION'!G39="","",'15 - AI DELEGATION'!G39),"")</f>
        <v/>
      </c>
      <c r="AD417" t="str">
        <f>IF('15 - AI DELEGATION'!A39&lt;&gt;"",IF('15 - AI DELEGATION'!H39="","",'15 - AI DELEGATION'!H39),"")</f>
        <v/>
      </c>
      <c r="AE417" t="str">
        <f>IF('15 - AI DELEGATION'!A39&lt;&gt;"",IF('15 - AI DELEGATION'!D39="","",'15 - AI DELEGATION'!D39),"")</f>
        <v/>
      </c>
      <c r="AF417" s="17" t="str">
        <f>IF('15 - AI DELEGATION'!A39&lt;&gt;"",IF('15 - AI DELEGATION'!E39="","",'15 - AI DELEGATION'!E39),"")</f>
        <v/>
      </c>
      <c r="AG417" t="str">
        <f>IF('15 - AI DELEGATION'!A39&lt;&gt;"",IF('15 - AI DELEGATION'!I39="","",'15 - AI DELEGATION'!I39),"")</f>
        <v/>
      </c>
      <c r="AH417" t="str">
        <f>IF('15 - AI DELEGATION'!A39&lt;&gt;"",IF('15 - AI DELEGATION'!J39="","",'15 - AI DELEGATION'!J39),"")</f>
        <v/>
      </c>
      <c r="AI417" t="str">
        <f>IF('15 - AI DELEGATION'!A39&lt;&gt;"",IF('15 - AI DELEGATION'!C39="","",'15 - AI DELEGATION'!C39),"")</f>
        <v/>
      </c>
      <c r="AJ417" t="str">
        <f>IF('15 - AI DELEGATION'!A39&lt;&gt;"","15 - AI DELEGATION row 39","")</f>
        <v/>
      </c>
      <c r="AK417">
        <f>IF(AND('15 - AI DELEGATION'!A39&lt;&gt;"",OR('15 - AI DELEGATION'!C39&lt;&gt;"Closed",'15 - AI DELEGATION'!G39&lt;&gt;""),OR(AC417&lt;&gt;"",AD417&lt;&gt;"")),IF(Y417="Critical",1,IF(Y417="Review",2,3))*100000000+IF(ISNUMBER(AF417),AF417,99999)*1000+ROW(),999999999999)</f>
        <v>999999999999</v>
      </c>
      <c r="AL417">
        <f t="shared" si="46"/>
        <v>999999999999</v>
      </c>
      <c r="AM417">
        <f t="shared" si="42"/>
        <v>999999999999</v>
      </c>
      <c r="AN417">
        <f t="shared" si="49"/>
        <v>999999999999</v>
      </c>
      <c r="AO417">
        <f t="shared" si="47"/>
        <v>999999999999</v>
      </c>
      <c r="AP417">
        <f t="shared" si="45"/>
        <v>999999999999</v>
      </c>
      <c r="AQ417">
        <f t="shared" si="44"/>
        <v>999999999999</v>
      </c>
      <c r="AR417">
        <f t="shared" si="48"/>
        <v>0</v>
      </c>
    </row>
    <row r="418" spans="25:44">
      <c r="Y418" t="str">
        <f>IF('15 - AI DELEGATION'!A40&lt;&gt;"",IF('15 - AI DELEGATION'!F40="","",'15 - AI DELEGATION'!F40),"")</f>
        <v/>
      </c>
      <c r="Z418" t="str">
        <f>IF('15 - AI DELEGATION'!A40&lt;&gt;"","AI delegation","")</f>
        <v/>
      </c>
      <c r="AA418" t="str">
        <f>IF('15 - AI DELEGATION'!A40&lt;&gt;"",IF('15 - AI DELEGATION'!A40="","",'15 - AI DELEGATION'!A40),"")</f>
        <v/>
      </c>
      <c r="AB418" t="str">
        <f>IF('15 - AI DELEGATION'!A40&lt;&gt;"",IF('15 - AI DELEGATION'!B40="","",'15 - AI DELEGATION'!B40),"")</f>
        <v/>
      </c>
      <c r="AC418" t="str">
        <f>IF('15 - AI DELEGATION'!A40&lt;&gt;"",IF('15 - AI DELEGATION'!G40="","",'15 - AI DELEGATION'!G40),"")</f>
        <v/>
      </c>
      <c r="AD418" t="str">
        <f>IF('15 - AI DELEGATION'!A40&lt;&gt;"",IF('15 - AI DELEGATION'!H40="","",'15 - AI DELEGATION'!H40),"")</f>
        <v/>
      </c>
      <c r="AE418" t="str">
        <f>IF('15 - AI DELEGATION'!A40&lt;&gt;"",IF('15 - AI DELEGATION'!D40="","",'15 - AI DELEGATION'!D40),"")</f>
        <v/>
      </c>
      <c r="AF418" s="17" t="str">
        <f>IF('15 - AI DELEGATION'!A40&lt;&gt;"",IF('15 - AI DELEGATION'!E40="","",'15 - AI DELEGATION'!E40),"")</f>
        <v/>
      </c>
      <c r="AG418" t="str">
        <f>IF('15 - AI DELEGATION'!A40&lt;&gt;"",IF('15 - AI DELEGATION'!I40="","",'15 - AI DELEGATION'!I40),"")</f>
        <v/>
      </c>
      <c r="AH418" t="str">
        <f>IF('15 - AI DELEGATION'!A40&lt;&gt;"",IF('15 - AI DELEGATION'!J40="","",'15 - AI DELEGATION'!J40),"")</f>
        <v/>
      </c>
      <c r="AI418" t="str">
        <f>IF('15 - AI DELEGATION'!A40&lt;&gt;"",IF('15 - AI DELEGATION'!C40="","",'15 - AI DELEGATION'!C40),"")</f>
        <v/>
      </c>
      <c r="AJ418" t="str">
        <f>IF('15 - AI DELEGATION'!A40&lt;&gt;"","15 - AI DELEGATION row 40","")</f>
        <v/>
      </c>
      <c r="AK418">
        <f>IF(AND('15 - AI DELEGATION'!A40&lt;&gt;"",OR('15 - AI DELEGATION'!C40&lt;&gt;"Closed",'15 - AI DELEGATION'!G40&lt;&gt;""),OR(AC418&lt;&gt;"",AD418&lt;&gt;"")),IF(Y418="Critical",1,IF(Y418="Review",2,3))*100000000+IF(ISNUMBER(AF418),AF418,99999)*1000+ROW(),999999999999)</f>
        <v>999999999999</v>
      </c>
      <c r="AL418">
        <f t="shared" si="46"/>
        <v>999999999999</v>
      </c>
      <c r="AM418">
        <f t="shared" si="42"/>
        <v>999999999999</v>
      </c>
      <c r="AN418">
        <f t="shared" si="49"/>
        <v>999999999999</v>
      </c>
      <c r="AO418">
        <f t="shared" si="47"/>
        <v>999999999999</v>
      </c>
      <c r="AP418">
        <f t="shared" si="45"/>
        <v>999999999999</v>
      </c>
      <c r="AQ418">
        <f t="shared" si="44"/>
        <v>999999999999</v>
      </c>
      <c r="AR418">
        <f t="shared" si="48"/>
        <v>0</v>
      </c>
    </row>
    <row r="419" spans="25:44">
      <c r="Y419" t="str">
        <f>IF('15 - AI DELEGATION'!A41&lt;&gt;"",IF('15 - AI DELEGATION'!F41="","",'15 - AI DELEGATION'!F41),"")</f>
        <v/>
      </c>
      <c r="Z419" t="str">
        <f>IF('15 - AI DELEGATION'!A41&lt;&gt;"","AI delegation","")</f>
        <v/>
      </c>
      <c r="AA419" t="str">
        <f>IF('15 - AI DELEGATION'!A41&lt;&gt;"",IF('15 - AI DELEGATION'!A41="","",'15 - AI DELEGATION'!A41),"")</f>
        <v/>
      </c>
      <c r="AB419" t="str">
        <f>IF('15 - AI DELEGATION'!A41&lt;&gt;"",IF('15 - AI DELEGATION'!B41="","",'15 - AI DELEGATION'!B41),"")</f>
        <v/>
      </c>
      <c r="AC419" t="str">
        <f>IF('15 - AI DELEGATION'!A41&lt;&gt;"",IF('15 - AI DELEGATION'!G41="","",'15 - AI DELEGATION'!G41),"")</f>
        <v/>
      </c>
      <c r="AD419" t="str">
        <f>IF('15 - AI DELEGATION'!A41&lt;&gt;"",IF('15 - AI DELEGATION'!H41="","",'15 - AI DELEGATION'!H41),"")</f>
        <v/>
      </c>
      <c r="AE419" t="str">
        <f>IF('15 - AI DELEGATION'!A41&lt;&gt;"",IF('15 - AI DELEGATION'!D41="","",'15 - AI DELEGATION'!D41),"")</f>
        <v/>
      </c>
      <c r="AF419" s="17" t="str">
        <f>IF('15 - AI DELEGATION'!A41&lt;&gt;"",IF('15 - AI DELEGATION'!E41="","",'15 - AI DELEGATION'!E41),"")</f>
        <v/>
      </c>
      <c r="AG419" t="str">
        <f>IF('15 - AI DELEGATION'!A41&lt;&gt;"",IF('15 - AI DELEGATION'!I41="","",'15 - AI DELEGATION'!I41),"")</f>
        <v/>
      </c>
      <c r="AH419" t="str">
        <f>IF('15 - AI DELEGATION'!A41&lt;&gt;"",IF('15 - AI DELEGATION'!J41="","",'15 - AI DELEGATION'!J41),"")</f>
        <v/>
      </c>
      <c r="AI419" t="str">
        <f>IF('15 - AI DELEGATION'!A41&lt;&gt;"",IF('15 - AI DELEGATION'!C41="","",'15 - AI DELEGATION'!C41),"")</f>
        <v/>
      </c>
      <c r="AJ419" t="str">
        <f>IF('15 - AI DELEGATION'!A41&lt;&gt;"","15 - AI DELEGATION row 41","")</f>
        <v/>
      </c>
      <c r="AK419">
        <f>IF(AND('15 - AI DELEGATION'!A41&lt;&gt;"",OR('15 - AI DELEGATION'!C41&lt;&gt;"Closed",'15 - AI DELEGATION'!G41&lt;&gt;""),OR(AC419&lt;&gt;"",AD419&lt;&gt;"")),IF(Y419="Critical",1,IF(Y419="Review",2,3))*100000000+IF(ISNUMBER(AF419),AF419,99999)*1000+ROW(),999999999999)</f>
        <v>999999999999</v>
      </c>
      <c r="AL419">
        <f t="shared" si="46"/>
        <v>999999999999</v>
      </c>
      <c r="AM419">
        <f t="shared" si="42"/>
        <v>999999999999</v>
      </c>
      <c r="AN419">
        <f t="shared" si="49"/>
        <v>999999999999</v>
      </c>
      <c r="AO419">
        <f t="shared" si="47"/>
        <v>999999999999</v>
      </c>
      <c r="AP419">
        <f t="shared" si="45"/>
        <v>999999999999</v>
      </c>
      <c r="AQ419">
        <f t="shared" si="44"/>
        <v>999999999999</v>
      </c>
      <c r="AR419">
        <f t="shared" si="48"/>
        <v>0</v>
      </c>
    </row>
    <row r="420" spans="25:44">
      <c r="Y420" t="str">
        <f>IF('15 - AI DELEGATION'!A42&lt;&gt;"",IF('15 - AI DELEGATION'!F42="","",'15 - AI DELEGATION'!F42),"")</f>
        <v/>
      </c>
      <c r="Z420" t="str">
        <f>IF('15 - AI DELEGATION'!A42&lt;&gt;"","AI delegation","")</f>
        <v/>
      </c>
      <c r="AA420" t="str">
        <f>IF('15 - AI DELEGATION'!A42&lt;&gt;"",IF('15 - AI DELEGATION'!A42="","",'15 - AI DELEGATION'!A42),"")</f>
        <v/>
      </c>
      <c r="AB420" t="str">
        <f>IF('15 - AI DELEGATION'!A42&lt;&gt;"",IF('15 - AI DELEGATION'!B42="","",'15 - AI DELEGATION'!B42),"")</f>
        <v/>
      </c>
      <c r="AC420" t="str">
        <f>IF('15 - AI DELEGATION'!A42&lt;&gt;"",IF('15 - AI DELEGATION'!G42="","",'15 - AI DELEGATION'!G42),"")</f>
        <v/>
      </c>
      <c r="AD420" t="str">
        <f>IF('15 - AI DELEGATION'!A42&lt;&gt;"",IF('15 - AI DELEGATION'!H42="","",'15 - AI DELEGATION'!H42),"")</f>
        <v/>
      </c>
      <c r="AE420" t="str">
        <f>IF('15 - AI DELEGATION'!A42&lt;&gt;"",IF('15 - AI DELEGATION'!D42="","",'15 - AI DELEGATION'!D42),"")</f>
        <v/>
      </c>
      <c r="AF420" s="17" t="str">
        <f>IF('15 - AI DELEGATION'!A42&lt;&gt;"",IF('15 - AI DELEGATION'!E42="","",'15 - AI DELEGATION'!E42),"")</f>
        <v/>
      </c>
      <c r="AG420" t="str">
        <f>IF('15 - AI DELEGATION'!A42&lt;&gt;"",IF('15 - AI DELEGATION'!I42="","",'15 - AI DELEGATION'!I42),"")</f>
        <v/>
      </c>
      <c r="AH420" t="str">
        <f>IF('15 - AI DELEGATION'!A42&lt;&gt;"",IF('15 - AI DELEGATION'!J42="","",'15 - AI DELEGATION'!J42),"")</f>
        <v/>
      </c>
      <c r="AI420" t="str">
        <f>IF('15 - AI DELEGATION'!A42&lt;&gt;"",IF('15 - AI DELEGATION'!C42="","",'15 - AI DELEGATION'!C42),"")</f>
        <v/>
      </c>
      <c r="AJ420" t="str">
        <f>IF('15 - AI DELEGATION'!A42&lt;&gt;"","15 - AI DELEGATION row 42","")</f>
        <v/>
      </c>
      <c r="AK420">
        <f>IF(AND('15 - AI DELEGATION'!A42&lt;&gt;"",OR('15 - AI DELEGATION'!C42&lt;&gt;"Closed",'15 - AI DELEGATION'!G42&lt;&gt;""),OR(AC420&lt;&gt;"",AD420&lt;&gt;"")),IF(Y420="Critical",1,IF(Y420="Review",2,3))*100000000+IF(ISNUMBER(AF420),AF420,99999)*1000+ROW(),999999999999)</f>
        <v>999999999999</v>
      </c>
      <c r="AL420">
        <f t="shared" si="46"/>
        <v>999999999999</v>
      </c>
      <c r="AM420">
        <f t="shared" si="42"/>
        <v>999999999999</v>
      </c>
      <c r="AN420">
        <f t="shared" si="49"/>
        <v>999999999999</v>
      </c>
      <c r="AO420">
        <f t="shared" si="47"/>
        <v>999999999999</v>
      </c>
      <c r="AP420">
        <f t="shared" si="45"/>
        <v>999999999999</v>
      </c>
      <c r="AQ420">
        <f t="shared" si="44"/>
        <v>999999999999</v>
      </c>
      <c r="AR420">
        <f t="shared" si="48"/>
        <v>0</v>
      </c>
    </row>
    <row r="421" spans="25:44">
      <c r="Y421" t="str">
        <f>IF('15 - AI DELEGATION'!A43&lt;&gt;"",IF('15 - AI DELEGATION'!F43="","",'15 - AI DELEGATION'!F43),"")</f>
        <v/>
      </c>
      <c r="Z421" t="str">
        <f>IF('15 - AI DELEGATION'!A43&lt;&gt;"","AI delegation","")</f>
        <v/>
      </c>
      <c r="AA421" t="str">
        <f>IF('15 - AI DELEGATION'!A43&lt;&gt;"",IF('15 - AI DELEGATION'!A43="","",'15 - AI DELEGATION'!A43),"")</f>
        <v/>
      </c>
      <c r="AB421" t="str">
        <f>IF('15 - AI DELEGATION'!A43&lt;&gt;"",IF('15 - AI DELEGATION'!B43="","",'15 - AI DELEGATION'!B43),"")</f>
        <v/>
      </c>
      <c r="AC421" t="str">
        <f>IF('15 - AI DELEGATION'!A43&lt;&gt;"",IF('15 - AI DELEGATION'!G43="","",'15 - AI DELEGATION'!G43),"")</f>
        <v/>
      </c>
      <c r="AD421" t="str">
        <f>IF('15 - AI DELEGATION'!A43&lt;&gt;"",IF('15 - AI DELEGATION'!H43="","",'15 - AI DELEGATION'!H43),"")</f>
        <v/>
      </c>
      <c r="AE421" t="str">
        <f>IF('15 - AI DELEGATION'!A43&lt;&gt;"",IF('15 - AI DELEGATION'!D43="","",'15 - AI DELEGATION'!D43),"")</f>
        <v/>
      </c>
      <c r="AF421" s="17" t="str">
        <f>IF('15 - AI DELEGATION'!A43&lt;&gt;"",IF('15 - AI DELEGATION'!E43="","",'15 - AI DELEGATION'!E43),"")</f>
        <v/>
      </c>
      <c r="AG421" t="str">
        <f>IF('15 - AI DELEGATION'!A43&lt;&gt;"",IF('15 - AI DELEGATION'!I43="","",'15 - AI DELEGATION'!I43),"")</f>
        <v/>
      </c>
      <c r="AH421" t="str">
        <f>IF('15 - AI DELEGATION'!A43&lt;&gt;"",IF('15 - AI DELEGATION'!J43="","",'15 - AI DELEGATION'!J43),"")</f>
        <v/>
      </c>
      <c r="AI421" t="str">
        <f>IF('15 - AI DELEGATION'!A43&lt;&gt;"",IF('15 - AI DELEGATION'!C43="","",'15 - AI DELEGATION'!C43),"")</f>
        <v/>
      </c>
      <c r="AJ421" t="str">
        <f>IF('15 - AI DELEGATION'!A43&lt;&gt;"","15 - AI DELEGATION row 43","")</f>
        <v/>
      </c>
      <c r="AK421">
        <f>IF(AND('15 - AI DELEGATION'!A43&lt;&gt;"",OR('15 - AI DELEGATION'!C43&lt;&gt;"Closed",'15 - AI DELEGATION'!G43&lt;&gt;""),OR(AC421&lt;&gt;"",AD421&lt;&gt;"")),IF(Y421="Critical",1,IF(Y421="Review",2,3))*100000000+IF(ISNUMBER(AF421),AF421,99999)*1000+ROW(),999999999999)</f>
        <v>999999999999</v>
      </c>
      <c r="AL421">
        <f t="shared" si="46"/>
        <v>999999999999</v>
      </c>
      <c r="AM421">
        <f t="shared" ref="AM421:AM436" si="50">IF(AND(ISNUMBER(AK421),OR(Z421="Assurance",AND(Z421="Adoption",AC421&lt;&gt;""),FALSE)),AK421,999999999999)</f>
        <v>999999999999</v>
      </c>
      <c r="AN421">
        <f t="shared" si="49"/>
        <v>999999999999</v>
      </c>
      <c r="AO421">
        <f t="shared" si="47"/>
        <v>999999999999</v>
      </c>
      <c r="AP421">
        <f t="shared" si="45"/>
        <v>999999999999</v>
      </c>
      <c r="AQ421">
        <f t="shared" si="44"/>
        <v>999999999999</v>
      </c>
      <c r="AR421">
        <f t="shared" si="48"/>
        <v>0</v>
      </c>
    </row>
    <row r="422" spans="25:44">
      <c r="Y422" t="str">
        <f>IF('15 - AI DELEGATION'!A44&lt;&gt;"",IF('15 - AI DELEGATION'!F44="","",'15 - AI DELEGATION'!F44),"")</f>
        <v/>
      </c>
      <c r="Z422" t="str">
        <f>IF('15 - AI DELEGATION'!A44&lt;&gt;"","AI delegation","")</f>
        <v/>
      </c>
      <c r="AA422" t="str">
        <f>IF('15 - AI DELEGATION'!A44&lt;&gt;"",IF('15 - AI DELEGATION'!A44="","",'15 - AI DELEGATION'!A44),"")</f>
        <v/>
      </c>
      <c r="AB422" t="str">
        <f>IF('15 - AI DELEGATION'!A44&lt;&gt;"",IF('15 - AI DELEGATION'!B44="","",'15 - AI DELEGATION'!B44),"")</f>
        <v/>
      </c>
      <c r="AC422" t="str">
        <f>IF('15 - AI DELEGATION'!A44&lt;&gt;"",IF('15 - AI DELEGATION'!G44="","",'15 - AI DELEGATION'!G44),"")</f>
        <v/>
      </c>
      <c r="AD422" t="str">
        <f>IF('15 - AI DELEGATION'!A44&lt;&gt;"",IF('15 - AI DELEGATION'!H44="","",'15 - AI DELEGATION'!H44),"")</f>
        <v/>
      </c>
      <c r="AE422" t="str">
        <f>IF('15 - AI DELEGATION'!A44&lt;&gt;"",IF('15 - AI DELEGATION'!D44="","",'15 - AI DELEGATION'!D44),"")</f>
        <v/>
      </c>
      <c r="AF422" s="17" t="str">
        <f>IF('15 - AI DELEGATION'!A44&lt;&gt;"",IF('15 - AI DELEGATION'!E44="","",'15 - AI DELEGATION'!E44),"")</f>
        <v/>
      </c>
      <c r="AG422" t="str">
        <f>IF('15 - AI DELEGATION'!A44&lt;&gt;"",IF('15 - AI DELEGATION'!I44="","",'15 - AI DELEGATION'!I44),"")</f>
        <v/>
      </c>
      <c r="AH422" t="str">
        <f>IF('15 - AI DELEGATION'!A44&lt;&gt;"",IF('15 - AI DELEGATION'!J44="","",'15 - AI DELEGATION'!J44),"")</f>
        <v/>
      </c>
      <c r="AI422" t="str">
        <f>IF('15 - AI DELEGATION'!A44&lt;&gt;"",IF('15 - AI DELEGATION'!C44="","",'15 - AI DELEGATION'!C44),"")</f>
        <v/>
      </c>
      <c r="AJ422" t="str">
        <f>IF('15 - AI DELEGATION'!A44&lt;&gt;"","15 - AI DELEGATION row 44","")</f>
        <v/>
      </c>
      <c r="AK422">
        <f>IF(AND('15 - AI DELEGATION'!A44&lt;&gt;"",OR('15 - AI DELEGATION'!C44&lt;&gt;"Closed",'15 - AI DELEGATION'!G44&lt;&gt;""),OR(AC422&lt;&gt;"",AD422&lt;&gt;"")),IF(Y422="Critical",1,IF(Y422="Review",2,3))*100000000+IF(ISNUMBER(AF422),AF422,99999)*1000+ROW(),999999999999)</f>
        <v>999999999999</v>
      </c>
      <c r="AL422">
        <f t="shared" si="46"/>
        <v>999999999999</v>
      </c>
      <c r="AM422">
        <f t="shared" si="50"/>
        <v>999999999999</v>
      </c>
      <c r="AN422">
        <f t="shared" si="49"/>
        <v>999999999999</v>
      </c>
      <c r="AO422">
        <f t="shared" si="47"/>
        <v>999999999999</v>
      </c>
      <c r="AP422">
        <f t="shared" si="45"/>
        <v>999999999999</v>
      </c>
      <c r="AQ422">
        <f t="shared" si="44"/>
        <v>999999999999</v>
      </c>
      <c r="AR422">
        <f t="shared" si="48"/>
        <v>0</v>
      </c>
    </row>
    <row r="423" spans="25:44">
      <c r="Y423" t="str">
        <f>IF('15 - AI DELEGATION'!A45&lt;&gt;"",IF('15 - AI DELEGATION'!F45="","",'15 - AI DELEGATION'!F45),"")</f>
        <v/>
      </c>
      <c r="Z423" t="str">
        <f>IF('15 - AI DELEGATION'!A45&lt;&gt;"","AI delegation","")</f>
        <v/>
      </c>
      <c r="AA423" t="str">
        <f>IF('15 - AI DELEGATION'!A45&lt;&gt;"",IF('15 - AI DELEGATION'!A45="","",'15 - AI DELEGATION'!A45),"")</f>
        <v/>
      </c>
      <c r="AB423" t="str">
        <f>IF('15 - AI DELEGATION'!A45&lt;&gt;"",IF('15 - AI DELEGATION'!B45="","",'15 - AI DELEGATION'!B45),"")</f>
        <v/>
      </c>
      <c r="AC423" t="str">
        <f>IF('15 - AI DELEGATION'!A45&lt;&gt;"",IF('15 - AI DELEGATION'!G45="","",'15 - AI DELEGATION'!G45),"")</f>
        <v/>
      </c>
      <c r="AD423" t="str">
        <f>IF('15 - AI DELEGATION'!A45&lt;&gt;"",IF('15 - AI DELEGATION'!H45="","",'15 - AI DELEGATION'!H45),"")</f>
        <v/>
      </c>
      <c r="AE423" t="str">
        <f>IF('15 - AI DELEGATION'!A45&lt;&gt;"",IF('15 - AI DELEGATION'!D45="","",'15 - AI DELEGATION'!D45),"")</f>
        <v/>
      </c>
      <c r="AF423" s="17" t="str">
        <f>IF('15 - AI DELEGATION'!A45&lt;&gt;"",IF('15 - AI DELEGATION'!E45="","",'15 - AI DELEGATION'!E45),"")</f>
        <v/>
      </c>
      <c r="AG423" t="str">
        <f>IF('15 - AI DELEGATION'!A45&lt;&gt;"",IF('15 - AI DELEGATION'!I45="","",'15 - AI DELEGATION'!I45),"")</f>
        <v/>
      </c>
      <c r="AH423" t="str">
        <f>IF('15 - AI DELEGATION'!A45&lt;&gt;"",IF('15 - AI DELEGATION'!J45="","",'15 - AI DELEGATION'!J45),"")</f>
        <v/>
      </c>
      <c r="AI423" t="str">
        <f>IF('15 - AI DELEGATION'!A45&lt;&gt;"",IF('15 - AI DELEGATION'!C45="","",'15 - AI DELEGATION'!C45),"")</f>
        <v/>
      </c>
      <c r="AJ423" t="str">
        <f>IF('15 - AI DELEGATION'!A45&lt;&gt;"","15 - AI DELEGATION row 45","")</f>
        <v/>
      </c>
      <c r="AK423">
        <f>IF(AND('15 - AI DELEGATION'!A45&lt;&gt;"",OR('15 - AI DELEGATION'!C45&lt;&gt;"Closed",'15 - AI DELEGATION'!G45&lt;&gt;""),OR(AC423&lt;&gt;"",AD423&lt;&gt;"")),IF(Y423="Critical",1,IF(Y423="Review",2,3))*100000000+IF(ISNUMBER(AF423),AF423,99999)*1000+ROW(),999999999999)</f>
        <v>999999999999</v>
      </c>
      <c r="AL423">
        <f t="shared" si="46"/>
        <v>999999999999</v>
      </c>
      <c r="AM423">
        <f t="shared" si="50"/>
        <v>999999999999</v>
      </c>
      <c r="AN423">
        <f t="shared" si="49"/>
        <v>999999999999</v>
      </c>
      <c r="AO423">
        <f t="shared" si="47"/>
        <v>999999999999</v>
      </c>
      <c r="AP423">
        <f t="shared" si="45"/>
        <v>999999999999</v>
      </c>
      <c r="AQ423">
        <f t="shared" si="44"/>
        <v>999999999999</v>
      </c>
      <c r="AR423">
        <f t="shared" si="48"/>
        <v>0</v>
      </c>
    </row>
    <row r="424" spans="25:44">
      <c r="Y424" t="str">
        <f>IF('15 - AI DELEGATION'!A46&lt;&gt;"",IF('15 - AI DELEGATION'!F46="","",'15 - AI DELEGATION'!F46),"")</f>
        <v/>
      </c>
      <c r="Z424" t="str">
        <f>IF('15 - AI DELEGATION'!A46&lt;&gt;"","AI delegation","")</f>
        <v/>
      </c>
      <c r="AA424" t="str">
        <f>IF('15 - AI DELEGATION'!A46&lt;&gt;"",IF('15 - AI DELEGATION'!A46="","",'15 - AI DELEGATION'!A46),"")</f>
        <v/>
      </c>
      <c r="AB424" t="str">
        <f>IF('15 - AI DELEGATION'!A46&lt;&gt;"",IF('15 - AI DELEGATION'!B46="","",'15 - AI DELEGATION'!B46),"")</f>
        <v/>
      </c>
      <c r="AC424" t="str">
        <f>IF('15 - AI DELEGATION'!A46&lt;&gt;"",IF('15 - AI DELEGATION'!G46="","",'15 - AI DELEGATION'!G46),"")</f>
        <v/>
      </c>
      <c r="AD424" t="str">
        <f>IF('15 - AI DELEGATION'!A46&lt;&gt;"",IF('15 - AI DELEGATION'!H46="","",'15 - AI DELEGATION'!H46),"")</f>
        <v/>
      </c>
      <c r="AE424" t="str">
        <f>IF('15 - AI DELEGATION'!A46&lt;&gt;"",IF('15 - AI DELEGATION'!D46="","",'15 - AI DELEGATION'!D46),"")</f>
        <v/>
      </c>
      <c r="AF424" s="17" t="str">
        <f>IF('15 - AI DELEGATION'!A46&lt;&gt;"",IF('15 - AI DELEGATION'!E46="","",'15 - AI DELEGATION'!E46),"")</f>
        <v/>
      </c>
      <c r="AG424" t="str">
        <f>IF('15 - AI DELEGATION'!A46&lt;&gt;"",IF('15 - AI DELEGATION'!I46="","",'15 - AI DELEGATION'!I46),"")</f>
        <v/>
      </c>
      <c r="AH424" t="str">
        <f>IF('15 - AI DELEGATION'!A46&lt;&gt;"",IF('15 - AI DELEGATION'!J46="","",'15 - AI DELEGATION'!J46),"")</f>
        <v/>
      </c>
      <c r="AI424" t="str">
        <f>IF('15 - AI DELEGATION'!A46&lt;&gt;"",IF('15 - AI DELEGATION'!C46="","",'15 - AI DELEGATION'!C46),"")</f>
        <v/>
      </c>
      <c r="AJ424" t="str">
        <f>IF('15 - AI DELEGATION'!A46&lt;&gt;"","15 - AI DELEGATION row 46","")</f>
        <v/>
      </c>
      <c r="AK424">
        <f>IF(AND('15 - AI DELEGATION'!A46&lt;&gt;"",OR('15 - AI DELEGATION'!C46&lt;&gt;"Closed",'15 - AI DELEGATION'!G46&lt;&gt;""),OR(AC424&lt;&gt;"",AD424&lt;&gt;"")),IF(Y424="Critical",1,IF(Y424="Review",2,3))*100000000+IF(ISNUMBER(AF424),AF424,99999)*1000+ROW(),999999999999)</f>
        <v>999999999999</v>
      </c>
      <c r="AL424">
        <f t="shared" si="46"/>
        <v>999999999999</v>
      </c>
      <c r="AM424">
        <f t="shared" si="50"/>
        <v>999999999999</v>
      </c>
      <c r="AN424">
        <f t="shared" si="49"/>
        <v>999999999999</v>
      </c>
      <c r="AO424">
        <f t="shared" si="47"/>
        <v>999999999999</v>
      </c>
      <c r="AP424">
        <f t="shared" si="45"/>
        <v>999999999999</v>
      </c>
      <c r="AQ424">
        <f t="shared" si="44"/>
        <v>999999999999</v>
      </c>
      <c r="AR424">
        <f t="shared" si="48"/>
        <v>0</v>
      </c>
    </row>
    <row r="425" spans="25:44">
      <c r="Y425" t="str">
        <f>IF('15 - AI DELEGATION'!A47&lt;&gt;"",IF('15 - AI DELEGATION'!F47="","",'15 - AI DELEGATION'!F47),"")</f>
        <v/>
      </c>
      <c r="Z425" t="str">
        <f>IF('15 - AI DELEGATION'!A47&lt;&gt;"","AI delegation","")</f>
        <v/>
      </c>
      <c r="AA425" t="str">
        <f>IF('15 - AI DELEGATION'!A47&lt;&gt;"",IF('15 - AI DELEGATION'!A47="","",'15 - AI DELEGATION'!A47),"")</f>
        <v/>
      </c>
      <c r="AB425" t="str">
        <f>IF('15 - AI DELEGATION'!A47&lt;&gt;"",IF('15 - AI DELEGATION'!B47="","",'15 - AI DELEGATION'!B47),"")</f>
        <v/>
      </c>
      <c r="AC425" t="str">
        <f>IF('15 - AI DELEGATION'!A47&lt;&gt;"",IF('15 - AI DELEGATION'!G47="","",'15 - AI DELEGATION'!G47),"")</f>
        <v/>
      </c>
      <c r="AD425" t="str">
        <f>IF('15 - AI DELEGATION'!A47&lt;&gt;"",IF('15 - AI DELEGATION'!H47="","",'15 - AI DELEGATION'!H47),"")</f>
        <v/>
      </c>
      <c r="AE425" t="str">
        <f>IF('15 - AI DELEGATION'!A47&lt;&gt;"",IF('15 - AI DELEGATION'!D47="","",'15 - AI DELEGATION'!D47),"")</f>
        <v/>
      </c>
      <c r="AF425" s="17" t="str">
        <f>IF('15 - AI DELEGATION'!A47&lt;&gt;"",IF('15 - AI DELEGATION'!E47="","",'15 - AI DELEGATION'!E47),"")</f>
        <v/>
      </c>
      <c r="AG425" t="str">
        <f>IF('15 - AI DELEGATION'!A47&lt;&gt;"",IF('15 - AI DELEGATION'!I47="","",'15 - AI DELEGATION'!I47),"")</f>
        <v/>
      </c>
      <c r="AH425" t="str">
        <f>IF('15 - AI DELEGATION'!A47&lt;&gt;"",IF('15 - AI DELEGATION'!J47="","",'15 - AI DELEGATION'!J47),"")</f>
        <v/>
      </c>
      <c r="AI425" t="str">
        <f>IF('15 - AI DELEGATION'!A47&lt;&gt;"",IF('15 - AI DELEGATION'!C47="","",'15 - AI DELEGATION'!C47),"")</f>
        <v/>
      </c>
      <c r="AJ425" t="str">
        <f>IF('15 - AI DELEGATION'!A47&lt;&gt;"","15 - AI DELEGATION row 47","")</f>
        <v/>
      </c>
      <c r="AK425">
        <f>IF(AND('15 - AI DELEGATION'!A47&lt;&gt;"",OR('15 - AI DELEGATION'!C47&lt;&gt;"Closed",'15 - AI DELEGATION'!G47&lt;&gt;""),OR(AC425&lt;&gt;"",AD425&lt;&gt;"")),IF(Y425="Critical",1,IF(Y425="Review",2,3))*100000000+IF(ISNUMBER(AF425),AF425,99999)*1000+ROW(),999999999999)</f>
        <v>999999999999</v>
      </c>
      <c r="AL425">
        <f t="shared" si="46"/>
        <v>999999999999</v>
      </c>
      <c r="AM425">
        <f t="shared" si="50"/>
        <v>999999999999</v>
      </c>
      <c r="AN425">
        <f t="shared" si="49"/>
        <v>999999999999</v>
      </c>
      <c r="AO425">
        <f t="shared" si="47"/>
        <v>999999999999</v>
      </c>
      <c r="AP425">
        <f t="shared" si="45"/>
        <v>999999999999</v>
      </c>
      <c r="AQ425">
        <f t="shared" si="44"/>
        <v>999999999999</v>
      </c>
      <c r="AR425">
        <f t="shared" si="48"/>
        <v>0</v>
      </c>
    </row>
    <row r="426" spans="25:44">
      <c r="Y426" t="str">
        <f>IF('15 - AI DELEGATION'!A48&lt;&gt;"",IF('15 - AI DELEGATION'!F48="","",'15 - AI DELEGATION'!F48),"")</f>
        <v/>
      </c>
      <c r="Z426" t="str">
        <f>IF('15 - AI DELEGATION'!A48&lt;&gt;"","AI delegation","")</f>
        <v/>
      </c>
      <c r="AA426" t="str">
        <f>IF('15 - AI DELEGATION'!A48&lt;&gt;"",IF('15 - AI DELEGATION'!A48="","",'15 - AI DELEGATION'!A48),"")</f>
        <v/>
      </c>
      <c r="AB426" t="str">
        <f>IF('15 - AI DELEGATION'!A48&lt;&gt;"",IF('15 - AI DELEGATION'!B48="","",'15 - AI DELEGATION'!B48),"")</f>
        <v/>
      </c>
      <c r="AC426" t="str">
        <f>IF('15 - AI DELEGATION'!A48&lt;&gt;"",IF('15 - AI DELEGATION'!G48="","",'15 - AI DELEGATION'!G48),"")</f>
        <v/>
      </c>
      <c r="AD426" t="str">
        <f>IF('15 - AI DELEGATION'!A48&lt;&gt;"",IF('15 - AI DELEGATION'!H48="","",'15 - AI DELEGATION'!H48),"")</f>
        <v/>
      </c>
      <c r="AE426" t="str">
        <f>IF('15 - AI DELEGATION'!A48&lt;&gt;"",IF('15 - AI DELEGATION'!D48="","",'15 - AI DELEGATION'!D48),"")</f>
        <v/>
      </c>
      <c r="AF426" s="17" t="str">
        <f>IF('15 - AI DELEGATION'!A48&lt;&gt;"",IF('15 - AI DELEGATION'!E48="","",'15 - AI DELEGATION'!E48),"")</f>
        <v/>
      </c>
      <c r="AG426" t="str">
        <f>IF('15 - AI DELEGATION'!A48&lt;&gt;"",IF('15 - AI DELEGATION'!I48="","",'15 - AI DELEGATION'!I48),"")</f>
        <v/>
      </c>
      <c r="AH426" t="str">
        <f>IF('15 - AI DELEGATION'!A48&lt;&gt;"",IF('15 - AI DELEGATION'!J48="","",'15 - AI DELEGATION'!J48),"")</f>
        <v/>
      </c>
      <c r="AI426" t="str">
        <f>IF('15 - AI DELEGATION'!A48&lt;&gt;"",IF('15 - AI DELEGATION'!C48="","",'15 - AI DELEGATION'!C48),"")</f>
        <v/>
      </c>
      <c r="AJ426" t="str">
        <f>IF('15 - AI DELEGATION'!A48&lt;&gt;"","15 - AI DELEGATION row 48","")</f>
        <v/>
      </c>
      <c r="AK426">
        <f>IF(AND('15 - AI DELEGATION'!A48&lt;&gt;"",OR('15 - AI DELEGATION'!C48&lt;&gt;"Closed",'15 - AI DELEGATION'!G48&lt;&gt;""),OR(AC426&lt;&gt;"",AD426&lt;&gt;"")),IF(Y426="Critical",1,IF(Y426="Review",2,3))*100000000+IF(ISNUMBER(AF426),AF426,99999)*1000+ROW(),999999999999)</f>
        <v>999999999999</v>
      </c>
      <c r="AL426">
        <f t="shared" si="46"/>
        <v>999999999999</v>
      </c>
      <c r="AM426">
        <f t="shared" si="50"/>
        <v>999999999999</v>
      </c>
      <c r="AN426">
        <f t="shared" si="49"/>
        <v>999999999999</v>
      </c>
      <c r="AO426">
        <f t="shared" si="47"/>
        <v>999999999999</v>
      </c>
      <c r="AP426">
        <f t="shared" si="45"/>
        <v>999999999999</v>
      </c>
      <c r="AQ426">
        <f t="shared" si="44"/>
        <v>999999999999</v>
      </c>
      <c r="AR426">
        <f t="shared" si="48"/>
        <v>0</v>
      </c>
    </row>
    <row r="427" spans="25:44">
      <c r="Y427" t="str">
        <f>IF('15 - AI DELEGATION'!A49&lt;&gt;"",IF('15 - AI DELEGATION'!F49="","",'15 - AI DELEGATION'!F49),"")</f>
        <v/>
      </c>
      <c r="Z427" t="str">
        <f>IF('15 - AI DELEGATION'!A49&lt;&gt;"","AI delegation","")</f>
        <v/>
      </c>
      <c r="AA427" t="str">
        <f>IF('15 - AI DELEGATION'!A49&lt;&gt;"",IF('15 - AI DELEGATION'!A49="","",'15 - AI DELEGATION'!A49),"")</f>
        <v/>
      </c>
      <c r="AB427" t="str">
        <f>IF('15 - AI DELEGATION'!A49&lt;&gt;"",IF('15 - AI DELEGATION'!B49="","",'15 - AI DELEGATION'!B49),"")</f>
        <v/>
      </c>
      <c r="AC427" t="str">
        <f>IF('15 - AI DELEGATION'!A49&lt;&gt;"",IF('15 - AI DELEGATION'!G49="","",'15 - AI DELEGATION'!G49),"")</f>
        <v/>
      </c>
      <c r="AD427" t="str">
        <f>IF('15 - AI DELEGATION'!A49&lt;&gt;"",IF('15 - AI DELEGATION'!H49="","",'15 - AI DELEGATION'!H49),"")</f>
        <v/>
      </c>
      <c r="AE427" t="str">
        <f>IF('15 - AI DELEGATION'!A49&lt;&gt;"",IF('15 - AI DELEGATION'!D49="","",'15 - AI DELEGATION'!D49),"")</f>
        <v/>
      </c>
      <c r="AF427" s="17" t="str">
        <f>IF('15 - AI DELEGATION'!A49&lt;&gt;"",IF('15 - AI DELEGATION'!E49="","",'15 - AI DELEGATION'!E49),"")</f>
        <v/>
      </c>
      <c r="AG427" t="str">
        <f>IF('15 - AI DELEGATION'!A49&lt;&gt;"",IF('15 - AI DELEGATION'!I49="","",'15 - AI DELEGATION'!I49),"")</f>
        <v/>
      </c>
      <c r="AH427" t="str">
        <f>IF('15 - AI DELEGATION'!A49&lt;&gt;"",IF('15 - AI DELEGATION'!J49="","",'15 - AI DELEGATION'!J49),"")</f>
        <v/>
      </c>
      <c r="AI427" t="str">
        <f>IF('15 - AI DELEGATION'!A49&lt;&gt;"",IF('15 - AI DELEGATION'!C49="","",'15 - AI DELEGATION'!C49),"")</f>
        <v/>
      </c>
      <c r="AJ427" t="str">
        <f>IF('15 - AI DELEGATION'!A49&lt;&gt;"","15 - AI DELEGATION row 49","")</f>
        <v/>
      </c>
      <c r="AK427">
        <f>IF(AND('15 - AI DELEGATION'!A49&lt;&gt;"",OR('15 - AI DELEGATION'!C49&lt;&gt;"Closed",'15 - AI DELEGATION'!G49&lt;&gt;""),OR(AC427&lt;&gt;"",AD427&lt;&gt;"")),IF(Y427="Critical",1,IF(Y427="Review",2,3))*100000000+IF(ISNUMBER(AF427),AF427,99999)*1000+ROW(),999999999999)</f>
        <v>999999999999</v>
      </c>
      <c r="AL427">
        <f t="shared" si="46"/>
        <v>999999999999</v>
      </c>
      <c r="AM427">
        <f t="shared" si="50"/>
        <v>999999999999</v>
      </c>
      <c r="AN427">
        <f t="shared" si="49"/>
        <v>999999999999</v>
      </c>
      <c r="AO427">
        <f t="shared" si="47"/>
        <v>999999999999</v>
      </c>
      <c r="AP427">
        <f t="shared" si="45"/>
        <v>999999999999</v>
      </c>
      <c r="AQ427">
        <f t="shared" si="44"/>
        <v>999999999999</v>
      </c>
      <c r="AR427">
        <f t="shared" si="48"/>
        <v>0</v>
      </c>
    </row>
    <row r="428" spans="25:44">
      <c r="Y428" t="str">
        <f>IF('15 - AI DELEGATION'!A50&lt;&gt;"",IF('15 - AI DELEGATION'!F50="","",'15 - AI DELEGATION'!F50),"")</f>
        <v/>
      </c>
      <c r="Z428" t="str">
        <f>IF('15 - AI DELEGATION'!A50&lt;&gt;"","AI delegation","")</f>
        <v/>
      </c>
      <c r="AA428" t="str">
        <f>IF('15 - AI DELEGATION'!A50&lt;&gt;"",IF('15 - AI DELEGATION'!A50="","",'15 - AI DELEGATION'!A50),"")</f>
        <v/>
      </c>
      <c r="AB428" t="str">
        <f>IF('15 - AI DELEGATION'!A50&lt;&gt;"",IF('15 - AI DELEGATION'!B50="","",'15 - AI DELEGATION'!B50),"")</f>
        <v/>
      </c>
      <c r="AC428" t="str">
        <f>IF('15 - AI DELEGATION'!A50&lt;&gt;"",IF('15 - AI DELEGATION'!G50="","",'15 - AI DELEGATION'!G50),"")</f>
        <v/>
      </c>
      <c r="AD428" t="str">
        <f>IF('15 - AI DELEGATION'!A50&lt;&gt;"",IF('15 - AI DELEGATION'!H50="","",'15 - AI DELEGATION'!H50),"")</f>
        <v/>
      </c>
      <c r="AE428" t="str">
        <f>IF('15 - AI DELEGATION'!A50&lt;&gt;"",IF('15 - AI DELEGATION'!D50="","",'15 - AI DELEGATION'!D50),"")</f>
        <v/>
      </c>
      <c r="AF428" s="17" t="str">
        <f>IF('15 - AI DELEGATION'!A50&lt;&gt;"",IF('15 - AI DELEGATION'!E50="","",'15 - AI DELEGATION'!E50),"")</f>
        <v/>
      </c>
      <c r="AG428" t="str">
        <f>IF('15 - AI DELEGATION'!A50&lt;&gt;"",IF('15 - AI DELEGATION'!I50="","",'15 - AI DELEGATION'!I50),"")</f>
        <v/>
      </c>
      <c r="AH428" t="str">
        <f>IF('15 - AI DELEGATION'!A50&lt;&gt;"",IF('15 - AI DELEGATION'!J50="","",'15 - AI DELEGATION'!J50),"")</f>
        <v/>
      </c>
      <c r="AI428" t="str">
        <f>IF('15 - AI DELEGATION'!A50&lt;&gt;"",IF('15 - AI DELEGATION'!C50="","",'15 - AI DELEGATION'!C50),"")</f>
        <v/>
      </c>
      <c r="AJ428" t="str">
        <f>IF('15 - AI DELEGATION'!A50&lt;&gt;"","15 - AI DELEGATION row 50","")</f>
        <v/>
      </c>
      <c r="AK428">
        <f>IF(AND('15 - AI DELEGATION'!A50&lt;&gt;"",OR('15 - AI DELEGATION'!C50&lt;&gt;"Closed",'15 - AI DELEGATION'!G50&lt;&gt;""),OR(AC428&lt;&gt;"",AD428&lt;&gt;"")),IF(Y428="Critical",1,IF(Y428="Review",2,3))*100000000+IF(ISNUMBER(AF428),AF428,99999)*1000+ROW(),999999999999)</f>
        <v>999999999999</v>
      </c>
      <c r="AL428">
        <f t="shared" si="46"/>
        <v>999999999999</v>
      </c>
      <c r="AM428">
        <f t="shared" si="50"/>
        <v>999999999999</v>
      </c>
      <c r="AN428">
        <f t="shared" si="49"/>
        <v>999999999999</v>
      </c>
      <c r="AO428">
        <f t="shared" si="47"/>
        <v>999999999999</v>
      </c>
      <c r="AP428">
        <f t="shared" si="45"/>
        <v>999999999999</v>
      </c>
      <c r="AQ428">
        <f t="shared" si="44"/>
        <v>999999999999</v>
      </c>
      <c r="AR428">
        <f t="shared" si="48"/>
        <v>0</v>
      </c>
    </row>
    <row r="429" spans="25:44">
      <c r="Y429" t="str">
        <f>IF('15 - AI DELEGATION'!A51&lt;&gt;"",IF('15 - AI DELEGATION'!F51="","",'15 - AI DELEGATION'!F51),"")</f>
        <v/>
      </c>
      <c r="Z429" t="str">
        <f>IF('15 - AI DELEGATION'!A51&lt;&gt;"","AI delegation","")</f>
        <v/>
      </c>
      <c r="AA429" t="str">
        <f>IF('15 - AI DELEGATION'!A51&lt;&gt;"",IF('15 - AI DELEGATION'!A51="","",'15 - AI DELEGATION'!A51),"")</f>
        <v/>
      </c>
      <c r="AB429" t="str">
        <f>IF('15 - AI DELEGATION'!A51&lt;&gt;"",IF('15 - AI DELEGATION'!B51="","",'15 - AI DELEGATION'!B51),"")</f>
        <v/>
      </c>
      <c r="AC429" t="str">
        <f>IF('15 - AI DELEGATION'!A51&lt;&gt;"",IF('15 - AI DELEGATION'!G51="","",'15 - AI DELEGATION'!G51),"")</f>
        <v/>
      </c>
      <c r="AD429" t="str">
        <f>IF('15 - AI DELEGATION'!A51&lt;&gt;"",IF('15 - AI DELEGATION'!H51="","",'15 - AI DELEGATION'!H51),"")</f>
        <v/>
      </c>
      <c r="AE429" t="str">
        <f>IF('15 - AI DELEGATION'!A51&lt;&gt;"",IF('15 - AI DELEGATION'!D51="","",'15 - AI DELEGATION'!D51),"")</f>
        <v/>
      </c>
      <c r="AF429" s="17" t="str">
        <f>IF('15 - AI DELEGATION'!A51&lt;&gt;"",IF('15 - AI DELEGATION'!E51="","",'15 - AI DELEGATION'!E51),"")</f>
        <v/>
      </c>
      <c r="AG429" t="str">
        <f>IF('15 - AI DELEGATION'!A51&lt;&gt;"",IF('15 - AI DELEGATION'!I51="","",'15 - AI DELEGATION'!I51),"")</f>
        <v/>
      </c>
      <c r="AH429" t="str">
        <f>IF('15 - AI DELEGATION'!A51&lt;&gt;"",IF('15 - AI DELEGATION'!J51="","",'15 - AI DELEGATION'!J51),"")</f>
        <v/>
      </c>
      <c r="AI429" t="str">
        <f>IF('15 - AI DELEGATION'!A51&lt;&gt;"",IF('15 - AI DELEGATION'!C51="","",'15 - AI DELEGATION'!C51),"")</f>
        <v/>
      </c>
      <c r="AJ429" t="str">
        <f>IF('15 - AI DELEGATION'!A51&lt;&gt;"","15 - AI DELEGATION row 51","")</f>
        <v/>
      </c>
      <c r="AK429">
        <f>IF(AND('15 - AI DELEGATION'!A51&lt;&gt;"",OR('15 - AI DELEGATION'!C51&lt;&gt;"Closed",'15 - AI DELEGATION'!G51&lt;&gt;""),OR(AC429&lt;&gt;"",AD429&lt;&gt;"")),IF(Y429="Critical",1,IF(Y429="Review",2,3))*100000000+IF(ISNUMBER(AF429),AF429,99999)*1000+ROW(),999999999999)</f>
        <v>999999999999</v>
      </c>
      <c r="AL429">
        <f t="shared" si="46"/>
        <v>999999999999</v>
      </c>
      <c r="AM429">
        <f t="shared" si="50"/>
        <v>999999999999</v>
      </c>
      <c r="AN429">
        <f t="shared" si="49"/>
        <v>999999999999</v>
      </c>
      <c r="AO429">
        <f t="shared" si="47"/>
        <v>999999999999</v>
      </c>
      <c r="AP429">
        <f t="shared" si="45"/>
        <v>999999999999</v>
      </c>
      <c r="AQ429">
        <f t="shared" si="44"/>
        <v>999999999999</v>
      </c>
      <c r="AR429">
        <f t="shared" si="48"/>
        <v>0</v>
      </c>
    </row>
    <row r="430" spans="25:44">
      <c r="Y430" t="str">
        <f>IF('15 - AI DELEGATION'!A52&lt;&gt;"",IF('15 - AI DELEGATION'!F52="","",'15 - AI DELEGATION'!F52),"")</f>
        <v/>
      </c>
      <c r="Z430" t="str">
        <f>IF('15 - AI DELEGATION'!A52&lt;&gt;"","AI delegation","")</f>
        <v/>
      </c>
      <c r="AA430" t="str">
        <f>IF('15 - AI DELEGATION'!A52&lt;&gt;"",IF('15 - AI DELEGATION'!A52="","",'15 - AI DELEGATION'!A52),"")</f>
        <v/>
      </c>
      <c r="AB430" t="str">
        <f>IF('15 - AI DELEGATION'!A52&lt;&gt;"",IF('15 - AI DELEGATION'!B52="","",'15 - AI DELEGATION'!B52),"")</f>
        <v/>
      </c>
      <c r="AC430" t="str">
        <f>IF('15 - AI DELEGATION'!A52&lt;&gt;"",IF('15 - AI DELEGATION'!G52="","",'15 - AI DELEGATION'!G52),"")</f>
        <v/>
      </c>
      <c r="AD430" t="str">
        <f>IF('15 - AI DELEGATION'!A52&lt;&gt;"",IF('15 - AI DELEGATION'!H52="","",'15 - AI DELEGATION'!H52),"")</f>
        <v/>
      </c>
      <c r="AE430" t="str">
        <f>IF('15 - AI DELEGATION'!A52&lt;&gt;"",IF('15 - AI DELEGATION'!D52="","",'15 - AI DELEGATION'!D52),"")</f>
        <v/>
      </c>
      <c r="AF430" s="17" t="str">
        <f>IF('15 - AI DELEGATION'!A52&lt;&gt;"",IF('15 - AI DELEGATION'!E52="","",'15 - AI DELEGATION'!E52),"")</f>
        <v/>
      </c>
      <c r="AG430" t="str">
        <f>IF('15 - AI DELEGATION'!A52&lt;&gt;"",IF('15 - AI DELEGATION'!I52="","",'15 - AI DELEGATION'!I52),"")</f>
        <v/>
      </c>
      <c r="AH430" t="str">
        <f>IF('15 - AI DELEGATION'!A52&lt;&gt;"",IF('15 - AI DELEGATION'!J52="","",'15 - AI DELEGATION'!J52),"")</f>
        <v/>
      </c>
      <c r="AI430" t="str">
        <f>IF('15 - AI DELEGATION'!A52&lt;&gt;"",IF('15 - AI DELEGATION'!C52="","",'15 - AI DELEGATION'!C52),"")</f>
        <v/>
      </c>
      <c r="AJ430" t="str">
        <f>IF('15 - AI DELEGATION'!A52&lt;&gt;"","15 - AI DELEGATION row 52","")</f>
        <v/>
      </c>
      <c r="AK430">
        <f>IF(AND('15 - AI DELEGATION'!A52&lt;&gt;"",OR('15 - AI DELEGATION'!C52&lt;&gt;"Closed",'15 - AI DELEGATION'!G52&lt;&gt;""),OR(AC430&lt;&gt;"",AD430&lt;&gt;"")),IF(Y430="Critical",1,IF(Y430="Review",2,3))*100000000+IF(ISNUMBER(AF430),AF430,99999)*1000+ROW(),999999999999)</f>
        <v>999999999999</v>
      </c>
      <c r="AL430">
        <f t="shared" si="46"/>
        <v>999999999999</v>
      </c>
      <c r="AM430">
        <f t="shared" si="50"/>
        <v>999999999999</v>
      </c>
      <c r="AN430">
        <f t="shared" si="49"/>
        <v>999999999999</v>
      </c>
      <c r="AO430">
        <f t="shared" si="47"/>
        <v>999999999999</v>
      </c>
      <c r="AP430">
        <f t="shared" si="45"/>
        <v>999999999999</v>
      </c>
      <c r="AQ430">
        <f t="shared" si="44"/>
        <v>999999999999</v>
      </c>
      <c r="AR430">
        <f t="shared" si="48"/>
        <v>0</v>
      </c>
    </row>
    <row r="431" spans="25:44">
      <c r="Y431" t="str">
        <f>IF('15 - AI DELEGATION'!A53&lt;&gt;"",IF('15 - AI DELEGATION'!F53="","",'15 - AI DELEGATION'!F53),"")</f>
        <v/>
      </c>
      <c r="Z431" t="str">
        <f>IF('15 - AI DELEGATION'!A53&lt;&gt;"","AI delegation","")</f>
        <v/>
      </c>
      <c r="AA431" t="str">
        <f>IF('15 - AI DELEGATION'!A53&lt;&gt;"",IF('15 - AI DELEGATION'!A53="","",'15 - AI DELEGATION'!A53),"")</f>
        <v/>
      </c>
      <c r="AB431" t="str">
        <f>IF('15 - AI DELEGATION'!A53&lt;&gt;"",IF('15 - AI DELEGATION'!B53="","",'15 - AI DELEGATION'!B53),"")</f>
        <v/>
      </c>
      <c r="AC431" t="str">
        <f>IF('15 - AI DELEGATION'!A53&lt;&gt;"",IF('15 - AI DELEGATION'!G53="","",'15 - AI DELEGATION'!G53),"")</f>
        <v/>
      </c>
      <c r="AD431" t="str">
        <f>IF('15 - AI DELEGATION'!A53&lt;&gt;"",IF('15 - AI DELEGATION'!H53="","",'15 - AI DELEGATION'!H53),"")</f>
        <v/>
      </c>
      <c r="AE431" t="str">
        <f>IF('15 - AI DELEGATION'!A53&lt;&gt;"",IF('15 - AI DELEGATION'!D53="","",'15 - AI DELEGATION'!D53),"")</f>
        <v/>
      </c>
      <c r="AF431" s="17" t="str">
        <f>IF('15 - AI DELEGATION'!A53&lt;&gt;"",IF('15 - AI DELEGATION'!E53="","",'15 - AI DELEGATION'!E53),"")</f>
        <v/>
      </c>
      <c r="AG431" t="str">
        <f>IF('15 - AI DELEGATION'!A53&lt;&gt;"",IF('15 - AI DELEGATION'!I53="","",'15 - AI DELEGATION'!I53),"")</f>
        <v/>
      </c>
      <c r="AH431" t="str">
        <f>IF('15 - AI DELEGATION'!A53&lt;&gt;"",IF('15 - AI DELEGATION'!J53="","",'15 - AI DELEGATION'!J53),"")</f>
        <v/>
      </c>
      <c r="AI431" t="str">
        <f>IF('15 - AI DELEGATION'!A53&lt;&gt;"",IF('15 - AI DELEGATION'!C53="","",'15 - AI DELEGATION'!C53),"")</f>
        <v/>
      </c>
      <c r="AJ431" t="str">
        <f>IF('15 - AI DELEGATION'!A53&lt;&gt;"","15 - AI DELEGATION row 53","")</f>
        <v/>
      </c>
      <c r="AK431">
        <f>IF(AND('15 - AI DELEGATION'!A53&lt;&gt;"",OR('15 - AI DELEGATION'!C53&lt;&gt;"Closed",'15 - AI DELEGATION'!G53&lt;&gt;""),OR(AC431&lt;&gt;"",AD431&lt;&gt;"")),IF(Y431="Critical",1,IF(Y431="Review",2,3))*100000000+IF(ISNUMBER(AF431),AF431,99999)*1000+ROW(),999999999999)</f>
        <v>999999999999</v>
      </c>
      <c r="AL431">
        <f t="shared" si="46"/>
        <v>999999999999</v>
      </c>
      <c r="AM431">
        <f t="shared" si="50"/>
        <v>999999999999</v>
      </c>
      <c r="AN431">
        <f t="shared" si="49"/>
        <v>999999999999</v>
      </c>
      <c r="AO431">
        <f t="shared" si="47"/>
        <v>999999999999</v>
      </c>
      <c r="AP431">
        <f t="shared" si="45"/>
        <v>999999999999</v>
      </c>
      <c r="AQ431">
        <f t="shared" si="44"/>
        <v>999999999999</v>
      </c>
      <c r="AR431">
        <f t="shared" si="48"/>
        <v>0</v>
      </c>
    </row>
    <row r="432" spans="25:44">
      <c r="Y432" t="str">
        <f>IF('15 - AI DELEGATION'!A54&lt;&gt;"",IF('15 - AI DELEGATION'!F54="","",'15 - AI DELEGATION'!F54),"")</f>
        <v/>
      </c>
      <c r="Z432" t="str">
        <f>IF('15 - AI DELEGATION'!A54&lt;&gt;"","AI delegation","")</f>
        <v/>
      </c>
      <c r="AA432" t="str">
        <f>IF('15 - AI DELEGATION'!A54&lt;&gt;"",IF('15 - AI DELEGATION'!A54="","",'15 - AI DELEGATION'!A54),"")</f>
        <v/>
      </c>
      <c r="AB432" t="str">
        <f>IF('15 - AI DELEGATION'!A54&lt;&gt;"",IF('15 - AI DELEGATION'!B54="","",'15 - AI DELEGATION'!B54),"")</f>
        <v/>
      </c>
      <c r="AC432" t="str">
        <f>IF('15 - AI DELEGATION'!A54&lt;&gt;"",IF('15 - AI DELEGATION'!G54="","",'15 - AI DELEGATION'!G54),"")</f>
        <v/>
      </c>
      <c r="AD432" t="str">
        <f>IF('15 - AI DELEGATION'!A54&lt;&gt;"",IF('15 - AI DELEGATION'!H54="","",'15 - AI DELEGATION'!H54),"")</f>
        <v/>
      </c>
      <c r="AE432" t="str">
        <f>IF('15 - AI DELEGATION'!A54&lt;&gt;"",IF('15 - AI DELEGATION'!D54="","",'15 - AI DELEGATION'!D54),"")</f>
        <v/>
      </c>
      <c r="AF432" s="17" t="str">
        <f>IF('15 - AI DELEGATION'!A54&lt;&gt;"",IF('15 - AI DELEGATION'!E54="","",'15 - AI DELEGATION'!E54),"")</f>
        <v/>
      </c>
      <c r="AG432" t="str">
        <f>IF('15 - AI DELEGATION'!A54&lt;&gt;"",IF('15 - AI DELEGATION'!I54="","",'15 - AI DELEGATION'!I54),"")</f>
        <v/>
      </c>
      <c r="AH432" t="str">
        <f>IF('15 - AI DELEGATION'!A54&lt;&gt;"",IF('15 - AI DELEGATION'!J54="","",'15 - AI DELEGATION'!J54),"")</f>
        <v/>
      </c>
      <c r="AI432" t="str">
        <f>IF('15 - AI DELEGATION'!A54&lt;&gt;"",IF('15 - AI DELEGATION'!C54="","",'15 - AI DELEGATION'!C54),"")</f>
        <v/>
      </c>
      <c r="AJ432" t="str">
        <f>IF('15 - AI DELEGATION'!A54&lt;&gt;"","15 - AI DELEGATION row 54","")</f>
        <v/>
      </c>
      <c r="AK432">
        <f>IF(AND('15 - AI DELEGATION'!A54&lt;&gt;"",OR('15 - AI DELEGATION'!C54&lt;&gt;"Closed",'15 - AI DELEGATION'!G54&lt;&gt;""),OR(AC432&lt;&gt;"",AD432&lt;&gt;"")),IF(Y432="Critical",1,IF(Y432="Review",2,3))*100000000+IF(ISNUMBER(AF432),AF432,99999)*1000+ROW(),999999999999)</f>
        <v>999999999999</v>
      </c>
      <c r="AL432">
        <f t="shared" si="46"/>
        <v>999999999999</v>
      </c>
      <c r="AM432">
        <f t="shared" si="50"/>
        <v>999999999999</v>
      </c>
      <c r="AN432">
        <f t="shared" si="49"/>
        <v>999999999999</v>
      </c>
      <c r="AO432">
        <f t="shared" si="47"/>
        <v>999999999999</v>
      </c>
      <c r="AP432">
        <f t="shared" si="45"/>
        <v>999999999999</v>
      </c>
      <c r="AQ432">
        <f t="shared" si="44"/>
        <v>999999999999</v>
      </c>
      <c r="AR432">
        <f t="shared" si="48"/>
        <v>0</v>
      </c>
    </row>
    <row r="433" spans="25:44">
      <c r="Y433" t="str">
        <f>IF('15 - AI DELEGATION'!A55&lt;&gt;"",IF('15 - AI DELEGATION'!F55="","",'15 - AI DELEGATION'!F55),"")</f>
        <v/>
      </c>
      <c r="Z433" t="str">
        <f>IF('15 - AI DELEGATION'!A55&lt;&gt;"","AI delegation","")</f>
        <v/>
      </c>
      <c r="AA433" t="str">
        <f>IF('15 - AI DELEGATION'!A55&lt;&gt;"",IF('15 - AI DELEGATION'!A55="","",'15 - AI DELEGATION'!A55),"")</f>
        <v/>
      </c>
      <c r="AB433" t="str">
        <f>IF('15 - AI DELEGATION'!A55&lt;&gt;"",IF('15 - AI DELEGATION'!B55="","",'15 - AI DELEGATION'!B55),"")</f>
        <v/>
      </c>
      <c r="AC433" t="str">
        <f>IF('15 - AI DELEGATION'!A55&lt;&gt;"",IF('15 - AI DELEGATION'!G55="","",'15 - AI DELEGATION'!G55),"")</f>
        <v/>
      </c>
      <c r="AD433" t="str">
        <f>IF('15 - AI DELEGATION'!A55&lt;&gt;"",IF('15 - AI DELEGATION'!H55="","",'15 - AI DELEGATION'!H55),"")</f>
        <v/>
      </c>
      <c r="AE433" t="str">
        <f>IF('15 - AI DELEGATION'!A55&lt;&gt;"",IF('15 - AI DELEGATION'!D55="","",'15 - AI DELEGATION'!D55),"")</f>
        <v/>
      </c>
      <c r="AF433" s="17" t="str">
        <f>IF('15 - AI DELEGATION'!A55&lt;&gt;"",IF('15 - AI DELEGATION'!E55="","",'15 - AI DELEGATION'!E55),"")</f>
        <v/>
      </c>
      <c r="AG433" t="str">
        <f>IF('15 - AI DELEGATION'!A55&lt;&gt;"",IF('15 - AI DELEGATION'!I55="","",'15 - AI DELEGATION'!I55),"")</f>
        <v/>
      </c>
      <c r="AH433" t="str">
        <f>IF('15 - AI DELEGATION'!A55&lt;&gt;"",IF('15 - AI DELEGATION'!J55="","",'15 - AI DELEGATION'!J55),"")</f>
        <v/>
      </c>
      <c r="AI433" t="str">
        <f>IF('15 - AI DELEGATION'!A55&lt;&gt;"",IF('15 - AI DELEGATION'!C55="","",'15 - AI DELEGATION'!C55),"")</f>
        <v/>
      </c>
      <c r="AJ433" t="str">
        <f>IF('15 - AI DELEGATION'!A55&lt;&gt;"","15 - AI DELEGATION row 55","")</f>
        <v/>
      </c>
      <c r="AK433">
        <f>IF(AND('15 - AI DELEGATION'!A55&lt;&gt;"",OR('15 - AI DELEGATION'!C55&lt;&gt;"Closed",'15 - AI DELEGATION'!G55&lt;&gt;""),OR(AC433&lt;&gt;"",AD433&lt;&gt;"")),IF(Y433="Critical",1,IF(Y433="Review",2,3))*100000000+IF(ISNUMBER(AF433),AF433,99999)*1000+ROW(),999999999999)</f>
        <v>999999999999</v>
      </c>
      <c r="AL433">
        <f t="shared" si="46"/>
        <v>999999999999</v>
      </c>
      <c r="AM433">
        <f t="shared" si="50"/>
        <v>999999999999</v>
      </c>
      <c r="AN433">
        <f t="shared" si="49"/>
        <v>999999999999</v>
      </c>
      <c r="AO433">
        <f t="shared" si="47"/>
        <v>999999999999</v>
      </c>
      <c r="AP433">
        <f t="shared" si="45"/>
        <v>999999999999</v>
      </c>
      <c r="AQ433">
        <f t="shared" si="44"/>
        <v>999999999999</v>
      </c>
      <c r="AR433">
        <f t="shared" si="48"/>
        <v>0</v>
      </c>
    </row>
    <row r="434" spans="25:44">
      <c r="Y434" t="str">
        <f>IF('15 - AI DELEGATION'!A56&lt;&gt;"",IF('15 - AI DELEGATION'!F56="","",'15 - AI DELEGATION'!F56),"")</f>
        <v/>
      </c>
      <c r="Z434" t="str">
        <f>IF('15 - AI DELEGATION'!A56&lt;&gt;"","AI delegation","")</f>
        <v/>
      </c>
      <c r="AA434" t="str">
        <f>IF('15 - AI DELEGATION'!A56&lt;&gt;"",IF('15 - AI DELEGATION'!A56="","",'15 - AI DELEGATION'!A56),"")</f>
        <v/>
      </c>
      <c r="AB434" t="str">
        <f>IF('15 - AI DELEGATION'!A56&lt;&gt;"",IF('15 - AI DELEGATION'!B56="","",'15 - AI DELEGATION'!B56),"")</f>
        <v/>
      </c>
      <c r="AC434" t="str">
        <f>IF('15 - AI DELEGATION'!A56&lt;&gt;"",IF('15 - AI DELEGATION'!G56="","",'15 - AI DELEGATION'!G56),"")</f>
        <v/>
      </c>
      <c r="AD434" t="str">
        <f>IF('15 - AI DELEGATION'!A56&lt;&gt;"",IF('15 - AI DELEGATION'!H56="","",'15 - AI DELEGATION'!H56),"")</f>
        <v/>
      </c>
      <c r="AE434" t="str">
        <f>IF('15 - AI DELEGATION'!A56&lt;&gt;"",IF('15 - AI DELEGATION'!D56="","",'15 - AI DELEGATION'!D56),"")</f>
        <v/>
      </c>
      <c r="AF434" s="17" t="str">
        <f>IF('15 - AI DELEGATION'!A56&lt;&gt;"",IF('15 - AI DELEGATION'!E56="","",'15 - AI DELEGATION'!E56),"")</f>
        <v/>
      </c>
      <c r="AG434" t="str">
        <f>IF('15 - AI DELEGATION'!A56&lt;&gt;"",IF('15 - AI DELEGATION'!I56="","",'15 - AI DELEGATION'!I56),"")</f>
        <v/>
      </c>
      <c r="AH434" t="str">
        <f>IF('15 - AI DELEGATION'!A56&lt;&gt;"",IF('15 - AI DELEGATION'!J56="","",'15 - AI DELEGATION'!J56),"")</f>
        <v/>
      </c>
      <c r="AI434" t="str">
        <f>IF('15 - AI DELEGATION'!A56&lt;&gt;"",IF('15 - AI DELEGATION'!C56="","",'15 - AI DELEGATION'!C56),"")</f>
        <v/>
      </c>
      <c r="AJ434" t="str">
        <f>IF('15 - AI DELEGATION'!A56&lt;&gt;"","15 - AI DELEGATION row 56","")</f>
        <v/>
      </c>
      <c r="AK434">
        <f>IF(AND('15 - AI DELEGATION'!A56&lt;&gt;"",OR('15 - AI DELEGATION'!C56&lt;&gt;"Closed",'15 - AI DELEGATION'!G56&lt;&gt;""),OR(AC434&lt;&gt;"",AD434&lt;&gt;"")),IF(Y434="Critical",1,IF(Y434="Review",2,3))*100000000+IF(ISNUMBER(AF434),AF434,99999)*1000+ROW(),999999999999)</f>
        <v>999999999999</v>
      </c>
      <c r="AL434">
        <f t="shared" si="46"/>
        <v>999999999999</v>
      </c>
      <c r="AM434">
        <f t="shared" si="50"/>
        <v>999999999999</v>
      </c>
      <c r="AN434">
        <f t="shared" si="49"/>
        <v>999999999999</v>
      </c>
      <c r="AO434">
        <f t="shared" si="47"/>
        <v>999999999999</v>
      </c>
      <c r="AP434">
        <f t="shared" si="45"/>
        <v>999999999999</v>
      </c>
      <c r="AQ434">
        <f t="shared" si="44"/>
        <v>999999999999</v>
      </c>
      <c r="AR434">
        <f t="shared" si="48"/>
        <v>0</v>
      </c>
    </row>
    <row r="435" spans="25:44">
      <c r="Y435" t="str">
        <f>IF('15 - AI DELEGATION'!A57&lt;&gt;"",IF('15 - AI DELEGATION'!F57="","",'15 - AI DELEGATION'!F57),"")</f>
        <v/>
      </c>
      <c r="Z435" t="str">
        <f>IF('15 - AI DELEGATION'!A57&lt;&gt;"","AI delegation","")</f>
        <v/>
      </c>
      <c r="AA435" t="str">
        <f>IF('15 - AI DELEGATION'!A57&lt;&gt;"",IF('15 - AI DELEGATION'!A57="","",'15 - AI DELEGATION'!A57),"")</f>
        <v/>
      </c>
      <c r="AB435" t="str">
        <f>IF('15 - AI DELEGATION'!A57&lt;&gt;"",IF('15 - AI DELEGATION'!B57="","",'15 - AI DELEGATION'!B57),"")</f>
        <v/>
      </c>
      <c r="AC435" t="str">
        <f>IF('15 - AI DELEGATION'!A57&lt;&gt;"",IF('15 - AI DELEGATION'!G57="","",'15 - AI DELEGATION'!G57),"")</f>
        <v/>
      </c>
      <c r="AD435" t="str">
        <f>IF('15 - AI DELEGATION'!A57&lt;&gt;"",IF('15 - AI DELEGATION'!H57="","",'15 - AI DELEGATION'!H57),"")</f>
        <v/>
      </c>
      <c r="AE435" t="str">
        <f>IF('15 - AI DELEGATION'!A57&lt;&gt;"",IF('15 - AI DELEGATION'!D57="","",'15 - AI DELEGATION'!D57),"")</f>
        <v/>
      </c>
      <c r="AF435" s="17" t="str">
        <f>IF('15 - AI DELEGATION'!A57&lt;&gt;"",IF('15 - AI DELEGATION'!E57="","",'15 - AI DELEGATION'!E57),"")</f>
        <v/>
      </c>
      <c r="AG435" t="str">
        <f>IF('15 - AI DELEGATION'!A57&lt;&gt;"",IF('15 - AI DELEGATION'!I57="","",'15 - AI DELEGATION'!I57),"")</f>
        <v/>
      </c>
      <c r="AH435" t="str">
        <f>IF('15 - AI DELEGATION'!A57&lt;&gt;"",IF('15 - AI DELEGATION'!J57="","",'15 - AI DELEGATION'!J57),"")</f>
        <v/>
      </c>
      <c r="AI435" t="str">
        <f>IF('15 - AI DELEGATION'!A57&lt;&gt;"",IF('15 - AI DELEGATION'!C57="","",'15 - AI DELEGATION'!C57),"")</f>
        <v/>
      </c>
      <c r="AJ435" t="str">
        <f>IF('15 - AI DELEGATION'!A57&lt;&gt;"","15 - AI DELEGATION row 57","")</f>
        <v/>
      </c>
      <c r="AK435">
        <f>IF(AND('15 - AI DELEGATION'!A57&lt;&gt;"",OR('15 - AI DELEGATION'!C57&lt;&gt;"Closed",'15 - AI DELEGATION'!G57&lt;&gt;""),OR(AC435&lt;&gt;"",AD435&lt;&gt;"")),IF(Y435="Critical",1,IF(Y435="Review",2,3))*100000000+IF(ISNUMBER(AF435),AF435,99999)*1000+ROW(),999999999999)</f>
        <v>999999999999</v>
      </c>
      <c r="AL435">
        <f t="shared" si="46"/>
        <v>999999999999</v>
      </c>
      <c r="AM435">
        <f t="shared" si="50"/>
        <v>999999999999</v>
      </c>
      <c r="AN435">
        <f t="shared" si="49"/>
        <v>999999999999</v>
      </c>
      <c r="AO435">
        <f t="shared" si="47"/>
        <v>999999999999</v>
      </c>
      <c r="AP435">
        <f t="shared" si="45"/>
        <v>999999999999</v>
      </c>
      <c r="AQ435">
        <f t="shared" si="44"/>
        <v>999999999999</v>
      </c>
      <c r="AR435">
        <f t="shared" si="48"/>
        <v>0</v>
      </c>
    </row>
    <row r="436" spans="25:44">
      <c r="Y436" t="str">
        <f>IF('15 - AI DELEGATION'!A58&lt;&gt;"",IF('15 - AI DELEGATION'!F58="","",'15 - AI DELEGATION'!F58),"")</f>
        <v/>
      </c>
      <c r="Z436" t="str">
        <f>IF('15 - AI DELEGATION'!A58&lt;&gt;"","AI delegation","")</f>
        <v/>
      </c>
      <c r="AA436" t="str">
        <f>IF('15 - AI DELEGATION'!A58&lt;&gt;"",IF('15 - AI DELEGATION'!A58="","",'15 - AI DELEGATION'!A58),"")</f>
        <v/>
      </c>
      <c r="AB436" t="str">
        <f>IF('15 - AI DELEGATION'!A58&lt;&gt;"",IF('15 - AI DELEGATION'!B58="","",'15 - AI DELEGATION'!B58),"")</f>
        <v/>
      </c>
      <c r="AC436" t="str">
        <f>IF('15 - AI DELEGATION'!A58&lt;&gt;"",IF('15 - AI DELEGATION'!G58="","",'15 - AI DELEGATION'!G58),"")</f>
        <v/>
      </c>
      <c r="AD436" t="str">
        <f>IF('15 - AI DELEGATION'!A58&lt;&gt;"",IF('15 - AI DELEGATION'!H58="","",'15 - AI DELEGATION'!H58),"")</f>
        <v/>
      </c>
      <c r="AE436" t="str">
        <f>IF('15 - AI DELEGATION'!A58&lt;&gt;"",IF('15 - AI DELEGATION'!D58="","",'15 - AI DELEGATION'!D58),"")</f>
        <v/>
      </c>
      <c r="AF436" s="17" t="str">
        <f>IF('15 - AI DELEGATION'!A58&lt;&gt;"",IF('15 - AI DELEGATION'!E58="","",'15 - AI DELEGATION'!E58),"")</f>
        <v/>
      </c>
      <c r="AG436" t="str">
        <f>IF('15 - AI DELEGATION'!A58&lt;&gt;"",IF('15 - AI DELEGATION'!I58="","",'15 - AI DELEGATION'!I58),"")</f>
        <v/>
      </c>
      <c r="AH436" t="str">
        <f>IF('15 - AI DELEGATION'!A58&lt;&gt;"",IF('15 - AI DELEGATION'!J58="","",'15 - AI DELEGATION'!J58),"")</f>
        <v/>
      </c>
      <c r="AI436" t="str">
        <f>IF('15 - AI DELEGATION'!A58&lt;&gt;"",IF('15 - AI DELEGATION'!C58="","",'15 - AI DELEGATION'!C58),"")</f>
        <v/>
      </c>
      <c r="AJ436" t="str">
        <f>IF('15 - AI DELEGATION'!A58&lt;&gt;"","15 - AI DELEGATION row 58","")</f>
        <v/>
      </c>
      <c r="AK436">
        <f>IF(AND('15 - AI DELEGATION'!A58&lt;&gt;"",OR('15 - AI DELEGATION'!C58&lt;&gt;"Closed",'15 - AI DELEGATION'!G58&lt;&gt;""),OR(AC436&lt;&gt;"",AD436&lt;&gt;"")),IF(Y436="Critical",1,IF(Y436="Review",2,3))*100000000+IF(ISNUMBER(AF436),AF436,99999)*1000+ROW(),999999999999)</f>
        <v>999999999999</v>
      </c>
      <c r="AL436">
        <f t="shared" si="46"/>
        <v>999999999999</v>
      </c>
      <c r="AM436">
        <f t="shared" si="50"/>
        <v>999999999999</v>
      </c>
      <c r="AN436">
        <f t="shared" si="49"/>
        <v>999999999999</v>
      </c>
      <c r="AO436">
        <f t="shared" si="47"/>
        <v>999999999999</v>
      </c>
      <c r="AP436">
        <f t="shared" si="45"/>
        <v>999999999999</v>
      </c>
      <c r="AQ436">
        <f t="shared" si="44"/>
        <v>999999999999</v>
      </c>
      <c r="AR436">
        <f t="shared" si="48"/>
        <v>0</v>
      </c>
    </row>
  </sheetData>
  <mergeCells count="1">
    <mergeCell ref="A4:J4"/>
  </mergeCells>
  <hyperlinks>
    <hyperlink ref="A6" location="'00 - START HERE'!A1" display="Start here" xr:uid="{00000000-0004-0000-0D00-000000000000}"/>
  </hyperlinks>
  <pageMargins left="0.25" right="0.25" top="0.4" bottom="0.4" header="0.2" footer="0.2"/>
  <pageSetup paperSize="8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87C78"/>
  </sheetPr>
  <dimension ref="A1:J108"/>
  <sheetViews>
    <sheetView showGridLines="0" zoomScale="85" workbookViewId="0">
      <pane ySplit="8" topLeftCell="A9" activePane="bottomLeft" state="frozen"/>
      <selection pane="bottomLeft"/>
    </sheetView>
  </sheetViews>
  <sheetFormatPr defaultRowHeight="14.25"/>
  <cols>
    <col min="1" max="5" width="20" customWidth="1"/>
    <col min="6" max="6" width="35" customWidth="1"/>
    <col min="7" max="8" width="20" customWidth="1"/>
    <col min="9" max="10" width="35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2.1" customHeight="1">
      <c r="A2" s="2" t="s">
        <v>575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3.950000000000003" customHeight="1">
      <c r="A4" s="21" t="s">
        <v>576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3.950000000000003" customHeight="1">
      <c r="A8" s="5" t="s">
        <v>65</v>
      </c>
      <c r="B8" s="5" t="s">
        <v>6</v>
      </c>
      <c r="C8" s="5" t="s">
        <v>103</v>
      </c>
      <c r="D8" s="5" t="s">
        <v>104</v>
      </c>
      <c r="E8" s="5" t="s">
        <v>105</v>
      </c>
      <c r="F8" s="5" t="s">
        <v>133</v>
      </c>
      <c r="G8" s="5" t="s">
        <v>108</v>
      </c>
      <c r="H8" s="5" t="s">
        <v>109</v>
      </c>
      <c r="I8" s="5" t="s">
        <v>577</v>
      </c>
      <c r="J8" s="5" t="s">
        <v>456</v>
      </c>
    </row>
    <row r="9" spans="1:10" ht="45" customHeight="1">
      <c r="A9" s="9">
        <v>46282</v>
      </c>
      <c r="B9" s="8" t="s">
        <v>8</v>
      </c>
      <c r="C9" s="8" t="s">
        <v>142</v>
      </c>
      <c r="D9" s="8" t="s">
        <v>143</v>
      </c>
      <c r="E9" s="8" t="s">
        <v>144</v>
      </c>
      <c r="F9" s="8" t="s">
        <v>578</v>
      </c>
      <c r="G9" s="8" t="s">
        <v>61</v>
      </c>
      <c r="H9" s="9">
        <v>46289</v>
      </c>
      <c r="I9" s="8" t="s">
        <v>579</v>
      </c>
      <c r="J9" s="8" t="s">
        <v>580</v>
      </c>
    </row>
    <row r="10" spans="1:10" ht="45" customHeight="1">
      <c r="A10" s="9">
        <v>46282</v>
      </c>
      <c r="B10" s="8" t="s">
        <v>10</v>
      </c>
      <c r="C10" s="8" t="s">
        <v>151</v>
      </c>
      <c r="D10" s="8" t="s">
        <v>152</v>
      </c>
      <c r="E10" s="8" t="s">
        <v>144</v>
      </c>
      <c r="F10" s="8" t="s">
        <v>581</v>
      </c>
      <c r="G10" s="8" t="s">
        <v>155</v>
      </c>
      <c r="H10" s="9">
        <v>46289</v>
      </c>
      <c r="I10" s="8" t="s">
        <v>582</v>
      </c>
      <c r="J10" s="8" t="s">
        <v>580</v>
      </c>
    </row>
    <row r="11" spans="1:10" ht="45" customHeight="1">
      <c r="A11" s="9">
        <v>46282</v>
      </c>
      <c r="B11" s="8" t="s">
        <v>12</v>
      </c>
      <c r="C11" s="8" t="s">
        <v>151</v>
      </c>
      <c r="D11" s="8" t="s">
        <v>143</v>
      </c>
      <c r="E11" s="8" t="s">
        <v>144</v>
      </c>
      <c r="F11" s="8" t="s">
        <v>578</v>
      </c>
      <c r="G11" s="8" t="s">
        <v>162</v>
      </c>
      <c r="H11" s="9">
        <v>46289</v>
      </c>
      <c r="I11" s="8" t="s">
        <v>579</v>
      </c>
      <c r="J11" s="8" t="s">
        <v>580</v>
      </c>
    </row>
    <row r="12" spans="1:10" ht="45" customHeight="1">
      <c r="A12" s="9">
        <v>46282</v>
      </c>
      <c r="B12" s="8" t="s">
        <v>14</v>
      </c>
      <c r="C12" s="8" t="s">
        <v>151</v>
      </c>
      <c r="D12" s="8" t="s">
        <v>143</v>
      </c>
      <c r="E12" s="8" t="s">
        <v>144</v>
      </c>
      <c r="F12" s="8" t="s">
        <v>578</v>
      </c>
      <c r="G12" s="8" t="s">
        <v>61</v>
      </c>
      <c r="H12" s="9">
        <v>46289</v>
      </c>
      <c r="I12" s="8" t="s">
        <v>579</v>
      </c>
      <c r="J12" s="8" t="s">
        <v>580</v>
      </c>
    </row>
    <row r="13" spans="1:10" ht="45" customHeight="1">
      <c r="A13" s="9">
        <v>46282</v>
      </c>
      <c r="B13" s="8" t="s">
        <v>16</v>
      </c>
      <c r="C13" s="8" t="s">
        <v>151</v>
      </c>
      <c r="D13" s="8" t="s">
        <v>143</v>
      </c>
      <c r="E13" s="8" t="s">
        <v>174</v>
      </c>
      <c r="F13" s="8" t="s">
        <v>578</v>
      </c>
      <c r="G13" s="8" t="s">
        <v>176</v>
      </c>
      <c r="H13" s="9">
        <v>46289</v>
      </c>
      <c r="I13" s="8" t="s">
        <v>579</v>
      </c>
      <c r="J13" s="8" t="s">
        <v>580</v>
      </c>
    </row>
    <row r="14" spans="1:10" ht="45" customHeight="1">
      <c r="A14" s="9">
        <v>46282</v>
      </c>
      <c r="B14" s="8" t="s">
        <v>18</v>
      </c>
      <c r="C14" s="8" t="s">
        <v>151</v>
      </c>
      <c r="D14" s="8" t="s">
        <v>143</v>
      </c>
      <c r="E14" s="8" t="s">
        <v>144</v>
      </c>
      <c r="F14" s="8" t="s">
        <v>578</v>
      </c>
      <c r="G14" s="8" t="s">
        <v>64</v>
      </c>
      <c r="H14" s="9">
        <v>46289</v>
      </c>
      <c r="I14" s="8" t="s">
        <v>579</v>
      </c>
      <c r="J14" s="8" t="s">
        <v>580</v>
      </c>
    </row>
    <row r="15" spans="1:10" ht="45" customHeight="1">
      <c r="A15" s="9">
        <v>46282</v>
      </c>
      <c r="B15" s="8" t="s">
        <v>20</v>
      </c>
      <c r="C15" s="8" t="s">
        <v>151</v>
      </c>
      <c r="D15" s="8" t="s">
        <v>143</v>
      </c>
      <c r="E15" s="8" t="s">
        <v>174</v>
      </c>
      <c r="F15" s="8" t="s">
        <v>578</v>
      </c>
      <c r="G15" s="8" t="s">
        <v>62</v>
      </c>
      <c r="H15" s="9">
        <v>46289</v>
      </c>
      <c r="I15" s="8" t="s">
        <v>579</v>
      </c>
      <c r="J15" s="8" t="s">
        <v>580</v>
      </c>
    </row>
    <row r="16" spans="1:10" ht="45" customHeight="1">
      <c r="A16" s="9"/>
      <c r="B16" s="8"/>
      <c r="C16" s="8"/>
      <c r="D16" s="8"/>
      <c r="E16" s="8"/>
      <c r="F16" s="8"/>
      <c r="G16" s="8"/>
      <c r="H16" s="9"/>
      <c r="I16" s="8"/>
      <c r="J16" s="8"/>
    </row>
    <row r="17" spans="1:10" ht="45" customHeight="1">
      <c r="A17" s="9"/>
      <c r="B17" s="8"/>
      <c r="C17" s="8"/>
      <c r="D17" s="8"/>
      <c r="E17" s="8"/>
      <c r="F17" s="8"/>
      <c r="G17" s="8"/>
      <c r="H17" s="9"/>
      <c r="I17" s="8"/>
      <c r="J17" s="8"/>
    </row>
    <row r="18" spans="1:10" ht="45" customHeight="1">
      <c r="A18" s="9"/>
      <c r="B18" s="8"/>
      <c r="C18" s="8"/>
      <c r="D18" s="8"/>
      <c r="E18" s="8"/>
      <c r="F18" s="8"/>
      <c r="G18" s="8"/>
      <c r="H18" s="9"/>
      <c r="I18" s="8"/>
      <c r="J18" s="8"/>
    </row>
    <row r="19" spans="1:10" ht="45" customHeight="1">
      <c r="A19" s="9"/>
      <c r="B19" s="8"/>
      <c r="C19" s="8"/>
      <c r="D19" s="8"/>
      <c r="E19" s="8"/>
      <c r="F19" s="8"/>
      <c r="G19" s="8"/>
      <c r="H19" s="9"/>
      <c r="I19" s="8"/>
      <c r="J19" s="8"/>
    </row>
    <row r="20" spans="1:10" ht="45" customHeight="1">
      <c r="A20" s="9"/>
      <c r="B20" s="8"/>
      <c r="C20" s="8"/>
      <c r="D20" s="8"/>
      <c r="E20" s="8"/>
      <c r="F20" s="8"/>
      <c r="G20" s="8"/>
      <c r="H20" s="9"/>
      <c r="I20" s="8"/>
      <c r="J20" s="8"/>
    </row>
    <row r="21" spans="1:10" ht="45" customHeight="1">
      <c r="A21" s="9"/>
      <c r="B21" s="8"/>
      <c r="C21" s="8"/>
      <c r="D21" s="8"/>
      <c r="E21" s="8"/>
      <c r="F21" s="8"/>
      <c r="G21" s="8"/>
      <c r="H21" s="9"/>
      <c r="I21" s="8"/>
      <c r="J21" s="8"/>
    </row>
    <row r="22" spans="1:10" ht="45" customHeight="1">
      <c r="A22" s="9"/>
      <c r="B22" s="8"/>
      <c r="C22" s="8"/>
      <c r="D22" s="8"/>
      <c r="E22" s="8"/>
      <c r="F22" s="8"/>
      <c r="G22" s="8"/>
      <c r="H22" s="9"/>
      <c r="I22" s="8"/>
      <c r="J22" s="8"/>
    </row>
    <row r="23" spans="1:10" ht="45" customHeight="1">
      <c r="A23" s="9"/>
      <c r="B23" s="8"/>
      <c r="C23" s="8"/>
      <c r="D23" s="8"/>
      <c r="E23" s="8"/>
      <c r="F23" s="8"/>
      <c r="G23" s="8"/>
      <c r="H23" s="9"/>
      <c r="I23" s="8"/>
      <c r="J23" s="8"/>
    </row>
    <row r="24" spans="1:10" ht="45" customHeight="1">
      <c r="A24" s="9"/>
      <c r="B24" s="8"/>
      <c r="C24" s="8"/>
      <c r="D24" s="8"/>
      <c r="E24" s="8"/>
      <c r="F24" s="8"/>
      <c r="G24" s="8"/>
      <c r="H24" s="9"/>
      <c r="I24" s="8"/>
      <c r="J24" s="8"/>
    </row>
    <row r="25" spans="1:10" ht="45" customHeight="1">
      <c r="A25" s="9"/>
      <c r="B25" s="8"/>
      <c r="C25" s="8"/>
      <c r="D25" s="8"/>
      <c r="E25" s="8"/>
      <c r="F25" s="8"/>
      <c r="G25" s="8"/>
      <c r="H25" s="9"/>
      <c r="I25" s="8"/>
      <c r="J25" s="8"/>
    </row>
    <row r="26" spans="1:10" ht="45" customHeight="1">
      <c r="A26" s="9"/>
      <c r="B26" s="8"/>
      <c r="C26" s="8"/>
      <c r="D26" s="8"/>
      <c r="E26" s="8"/>
      <c r="F26" s="8"/>
      <c r="G26" s="8"/>
      <c r="H26" s="9"/>
      <c r="I26" s="8"/>
      <c r="J26" s="8"/>
    </row>
    <row r="27" spans="1:10" ht="45" customHeight="1">
      <c r="A27" s="9"/>
      <c r="B27" s="8"/>
      <c r="C27" s="8"/>
      <c r="D27" s="8"/>
      <c r="E27" s="8"/>
      <c r="F27" s="8"/>
      <c r="G27" s="8"/>
      <c r="H27" s="9"/>
      <c r="I27" s="8"/>
      <c r="J27" s="8"/>
    </row>
    <row r="28" spans="1:10" ht="45" customHeight="1">
      <c r="A28" s="9"/>
      <c r="B28" s="8"/>
      <c r="C28" s="8"/>
      <c r="D28" s="8"/>
      <c r="E28" s="8"/>
      <c r="F28" s="8"/>
      <c r="G28" s="8"/>
      <c r="H28" s="9"/>
      <c r="I28" s="8"/>
      <c r="J28" s="8"/>
    </row>
    <row r="29" spans="1:10" ht="45" customHeight="1">
      <c r="A29" s="9"/>
      <c r="B29" s="8"/>
      <c r="C29" s="8"/>
      <c r="D29" s="8"/>
      <c r="E29" s="8"/>
      <c r="F29" s="8"/>
      <c r="G29" s="8"/>
      <c r="H29" s="9"/>
      <c r="I29" s="8"/>
      <c r="J29" s="8"/>
    </row>
    <row r="30" spans="1:10" ht="45" customHeight="1">
      <c r="A30" s="9"/>
      <c r="B30" s="8"/>
      <c r="C30" s="8"/>
      <c r="D30" s="8"/>
      <c r="E30" s="8"/>
      <c r="F30" s="8"/>
      <c r="G30" s="8"/>
      <c r="H30" s="9"/>
      <c r="I30" s="8"/>
      <c r="J30" s="8"/>
    </row>
    <row r="31" spans="1:10" ht="45" customHeight="1">
      <c r="A31" s="9"/>
      <c r="B31" s="8"/>
      <c r="C31" s="8"/>
      <c r="D31" s="8"/>
      <c r="E31" s="8"/>
      <c r="F31" s="8"/>
      <c r="G31" s="8"/>
      <c r="H31" s="9"/>
      <c r="I31" s="8"/>
      <c r="J31" s="8"/>
    </row>
    <row r="32" spans="1:10" ht="45" customHeight="1">
      <c r="A32" s="9"/>
      <c r="B32" s="8"/>
      <c r="C32" s="8"/>
      <c r="D32" s="8"/>
      <c r="E32" s="8"/>
      <c r="F32" s="8"/>
      <c r="G32" s="8"/>
      <c r="H32" s="9"/>
      <c r="I32" s="8"/>
      <c r="J32" s="8"/>
    </row>
    <row r="33" spans="1:10" ht="45" customHeight="1">
      <c r="A33" s="9"/>
      <c r="B33" s="8"/>
      <c r="C33" s="8"/>
      <c r="D33" s="8"/>
      <c r="E33" s="8"/>
      <c r="F33" s="8"/>
      <c r="G33" s="8"/>
      <c r="H33" s="9"/>
      <c r="I33" s="8"/>
      <c r="J33" s="8"/>
    </row>
    <row r="34" spans="1:10" ht="45" customHeight="1">
      <c r="A34" s="9"/>
      <c r="B34" s="8"/>
      <c r="C34" s="8"/>
      <c r="D34" s="8"/>
      <c r="E34" s="8"/>
      <c r="F34" s="8"/>
      <c r="G34" s="8"/>
      <c r="H34" s="9"/>
      <c r="I34" s="8"/>
      <c r="J34" s="8"/>
    </row>
    <row r="35" spans="1:10" ht="45" customHeight="1">
      <c r="A35" s="9"/>
      <c r="B35" s="8"/>
      <c r="C35" s="8"/>
      <c r="D35" s="8"/>
      <c r="E35" s="8"/>
      <c r="F35" s="8"/>
      <c r="G35" s="8"/>
      <c r="H35" s="9"/>
      <c r="I35" s="8"/>
      <c r="J35" s="8"/>
    </row>
    <row r="36" spans="1:10" ht="45" customHeight="1">
      <c r="A36" s="9"/>
      <c r="B36" s="8"/>
      <c r="C36" s="8"/>
      <c r="D36" s="8"/>
      <c r="E36" s="8"/>
      <c r="F36" s="8"/>
      <c r="G36" s="8"/>
      <c r="H36" s="9"/>
      <c r="I36" s="8"/>
      <c r="J36" s="8"/>
    </row>
    <row r="37" spans="1:10" ht="45" customHeight="1">
      <c r="A37" s="9"/>
      <c r="B37" s="8"/>
      <c r="C37" s="8"/>
      <c r="D37" s="8"/>
      <c r="E37" s="8"/>
      <c r="F37" s="8"/>
      <c r="G37" s="8"/>
      <c r="H37" s="9"/>
      <c r="I37" s="8"/>
      <c r="J37" s="8"/>
    </row>
    <row r="38" spans="1:10" ht="45" customHeight="1">
      <c r="A38" s="9"/>
      <c r="B38" s="8"/>
      <c r="C38" s="8"/>
      <c r="D38" s="8"/>
      <c r="E38" s="8"/>
      <c r="F38" s="8"/>
      <c r="G38" s="8"/>
      <c r="H38" s="9"/>
      <c r="I38" s="8"/>
      <c r="J38" s="8"/>
    </row>
    <row r="39" spans="1:10" ht="45" customHeight="1">
      <c r="A39" s="9"/>
      <c r="B39" s="8"/>
      <c r="C39" s="8"/>
      <c r="D39" s="8"/>
      <c r="E39" s="8"/>
      <c r="F39" s="8"/>
      <c r="G39" s="8"/>
      <c r="H39" s="9"/>
      <c r="I39" s="8"/>
      <c r="J39" s="8"/>
    </row>
    <row r="40" spans="1:10" ht="45" customHeight="1">
      <c r="A40" s="9"/>
      <c r="B40" s="8"/>
      <c r="C40" s="8"/>
      <c r="D40" s="8"/>
      <c r="E40" s="8"/>
      <c r="F40" s="8"/>
      <c r="G40" s="8"/>
      <c r="H40" s="9"/>
      <c r="I40" s="8"/>
      <c r="J40" s="8"/>
    </row>
    <row r="41" spans="1:10" ht="45" customHeight="1">
      <c r="A41" s="9"/>
      <c r="B41" s="8"/>
      <c r="C41" s="8"/>
      <c r="D41" s="8"/>
      <c r="E41" s="8"/>
      <c r="F41" s="8"/>
      <c r="G41" s="8"/>
      <c r="H41" s="9"/>
      <c r="I41" s="8"/>
      <c r="J41" s="8"/>
    </row>
    <row r="42" spans="1:10" ht="45" customHeight="1">
      <c r="A42" s="9"/>
      <c r="B42" s="8"/>
      <c r="C42" s="8"/>
      <c r="D42" s="8"/>
      <c r="E42" s="8"/>
      <c r="F42" s="8"/>
      <c r="G42" s="8"/>
      <c r="H42" s="9"/>
      <c r="I42" s="8"/>
      <c r="J42" s="8"/>
    </row>
    <row r="43" spans="1:10" ht="45" customHeight="1">
      <c r="A43" s="9"/>
      <c r="B43" s="8"/>
      <c r="C43" s="8"/>
      <c r="D43" s="8"/>
      <c r="E43" s="8"/>
      <c r="F43" s="8"/>
      <c r="G43" s="8"/>
      <c r="H43" s="9"/>
      <c r="I43" s="8"/>
      <c r="J43" s="8"/>
    </row>
    <row r="44" spans="1:10" ht="45" customHeight="1">
      <c r="A44" s="9"/>
      <c r="B44" s="8"/>
      <c r="C44" s="8"/>
      <c r="D44" s="8"/>
      <c r="E44" s="8"/>
      <c r="F44" s="8"/>
      <c r="G44" s="8"/>
      <c r="H44" s="9"/>
      <c r="I44" s="8"/>
      <c r="J44" s="8"/>
    </row>
    <row r="45" spans="1:10" ht="45" customHeight="1">
      <c r="A45" s="9"/>
      <c r="B45" s="8"/>
      <c r="C45" s="8"/>
      <c r="D45" s="8"/>
      <c r="E45" s="8"/>
      <c r="F45" s="8"/>
      <c r="G45" s="8"/>
      <c r="H45" s="9"/>
      <c r="I45" s="8"/>
      <c r="J45" s="8"/>
    </row>
    <row r="46" spans="1:10" ht="45" customHeight="1">
      <c r="A46" s="9"/>
      <c r="B46" s="8"/>
      <c r="C46" s="8"/>
      <c r="D46" s="8"/>
      <c r="E46" s="8"/>
      <c r="F46" s="8"/>
      <c r="G46" s="8"/>
      <c r="H46" s="9"/>
      <c r="I46" s="8"/>
      <c r="J46" s="8"/>
    </row>
    <row r="47" spans="1:10" ht="45" customHeight="1">
      <c r="A47" s="9"/>
      <c r="B47" s="8"/>
      <c r="C47" s="8"/>
      <c r="D47" s="8"/>
      <c r="E47" s="8"/>
      <c r="F47" s="8"/>
      <c r="G47" s="8"/>
      <c r="H47" s="9"/>
      <c r="I47" s="8"/>
      <c r="J47" s="8"/>
    </row>
    <row r="48" spans="1:10" ht="45" customHeight="1">
      <c r="A48" s="9"/>
      <c r="B48" s="8"/>
      <c r="C48" s="8"/>
      <c r="D48" s="8"/>
      <c r="E48" s="8"/>
      <c r="F48" s="8"/>
      <c r="G48" s="8"/>
      <c r="H48" s="9"/>
      <c r="I48" s="8"/>
      <c r="J48" s="8"/>
    </row>
    <row r="49" spans="1:10" ht="45" customHeight="1">
      <c r="A49" s="9"/>
      <c r="B49" s="8"/>
      <c r="C49" s="8"/>
      <c r="D49" s="8"/>
      <c r="E49" s="8"/>
      <c r="F49" s="8"/>
      <c r="G49" s="8"/>
      <c r="H49" s="9"/>
      <c r="I49" s="8"/>
      <c r="J49" s="8"/>
    </row>
    <row r="50" spans="1:10" ht="45" customHeight="1">
      <c r="A50" s="9"/>
      <c r="B50" s="8"/>
      <c r="C50" s="8"/>
      <c r="D50" s="8"/>
      <c r="E50" s="8"/>
      <c r="F50" s="8"/>
      <c r="G50" s="8"/>
      <c r="H50" s="9"/>
      <c r="I50" s="8"/>
      <c r="J50" s="8"/>
    </row>
    <row r="51" spans="1:10" ht="45" customHeight="1">
      <c r="A51" s="9"/>
      <c r="B51" s="8"/>
      <c r="C51" s="8"/>
      <c r="D51" s="8"/>
      <c r="E51" s="8"/>
      <c r="F51" s="8"/>
      <c r="G51" s="8"/>
      <c r="H51" s="9"/>
      <c r="I51" s="8"/>
      <c r="J51" s="8"/>
    </row>
    <row r="52" spans="1:10" ht="45" customHeight="1">
      <c r="A52" s="9"/>
      <c r="B52" s="8"/>
      <c r="C52" s="8"/>
      <c r="D52" s="8"/>
      <c r="E52" s="8"/>
      <c r="F52" s="8"/>
      <c r="G52" s="8"/>
      <c r="H52" s="9"/>
      <c r="I52" s="8"/>
      <c r="J52" s="8"/>
    </row>
    <row r="53" spans="1:10" ht="45" customHeight="1">
      <c r="A53" s="9"/>
      <c r="B53" s="8"/>
      <c r="C53" s="8"/>
      <c r="D53" s="8"/>
      <c r="E53" s="8"/>
      <c r="F53" s="8"/>
      <c r="G53" s="8"/>
      <c r="H53" s="9"/>
      <c r="I53" s="8"/>
      <c r="J53" s="8"/>
    </row>
    <row r="54" spans="1:10" ht="45" customHeight="1">
      <c r="A54" s="9"/>
      <c r="B54" s="8"/>
      <c r="C54" s="8"/>
      <c r="D54" s="8"/>
      <c r="E54" s="8"/>
      <c r="F54" s="8"/>
      <c r="G54" s="8"/>
      <c r="H54" s="9"/>
      <c r="I54" s="8"/>
      <c r="J54" s="8"/>
    </row>
    <row r="55" spans="1:10" ht="45" customHeight="1">
      <c r="A55" s="9"/>
      <c r="B55" s="8"/>
      <c r="C55" s="8"/>
      <c r="D55" s="8"/>
      <c r="E55" s="8"/>
      <c r="F55" s="8"/>
      <c r="G55" s="8"/>
      <c r="H55" s="9"/>
      <c r="I55" s="8"/>
      <c r="J55" s="8"/>
    </row>
    <row r="56" spans="1:10" ht="45" customHeight="1">
      <c r="A56" s="9"/>
      <c r="B56" s="8"/>
      <c r="C56" s="8"/>
      <c r="D56" s="8"/>
      <c r="E56" s="8"/>
      <c r="F56" s="8"/>
      <c r="G56" s="8"/>
      <c r="H56" s="9"/>
      <c r="I56" s="8"/>
      <c r="J56" s="8"/>
    </row>
    <row r="57" spans="1:10" ht="45" customHeight="1">
      <c r="A57" s="9"/>
      <c r="B57" s="8"/>
      <c r="C57" s="8"/>
      <c r="D57" s="8"/>
      <c r="E57" s="8"/>
      <c r="F57" s="8"/>
      <c r="G57" s="8"/>
      <c r="H57" s="9"/>
      <c r="I57" s="8"/>
      <c r="J57" s="8"/>
    </row>
    <row r="58" spans="1:10" ht="45" customHeight="1">
      <c r="A58" s="9"/>
      <c r="B58" s="8"/>
      <c r="C58" s="8"/>
      <c r="D58" s="8"/>
      <c r="E58" s="8"/>
      <c r="F58" s="8"/>
      <c r="G58" s="8"/>
      <c r="H58" s="9"/>
      <c r="I58" s="8"/>
      <c r="J58" s="8"/>
    </row>
    <row r="59" spans="1:10" ht="45" customHeight="1">
      <c r="A59" s="9"/>
      <c r="B59" s="8"/>
      <c r="C59" s="8"/>
      <c r="D59" s="8"/>
      <c r="E59" s="8"/>
      <c r="F59" s="8"/>
      <c r="G59" s="8"/>
      <c r="H59" s="9"/>
      <c r="I59" s="8"/>
      <c r="J59" s="8"/>
    </row>
    <row r="60" spans="1:10" ht="45" customHeight="1">
      <c r="A60" s="9"/>
      <c r="B60" s="8"/>
      <c r="C60" s="8"/>
      <c r="D60" s="8"/>
      <c r="E60" s="8"/>
      <c r="F60" s="8"/>
      <c r="G60" s="8"/>
      <c r="H60" s="9"/>
      <c r="I60" s="8"/>
      <c r="J60" s="8"/>
    </row>
    <row r="61" spans="1:10" ht="45" customHeight="1">
      <c r="A61" s="9"/>
      <c r="B61" s="8"/>
      <c r="C61" s="8"/>
      <c r="D61" s="8"/>
      <c r="E61" s="8"/>
      <c r="F61" s="8"/>
      <c r="G61" s="8"/>
      <c r="H61" s="9"/>
      <c r="I61" s="8"/>
      <c r="J61" s="8"/>
    </row>
    <row r="62" spans="1:10" ht="45" customHeight="1">
      <c r="A62" s="9"/>
      <c r="B62" s="8"/>
      <c r="C62" s="8"/>
      <c r="D62" s="8"/>
      <c r="E62" s="8"/>
      <c r="F62" s="8"/>
      <c r="G62" s="8"/>
      <c r="H62" s="9"/>
      <c r="I62" s="8"/>
      <c r="J62" s="8"/>
    </row>
    <row r="63" spans="1:10" ht="45" customHeight="1">
      <c r="A63" s="9"/>
      <c r="B63" s="8"/>
      <c r="C63" s="8"/>
      <c r="D63" s="8"/>
      <c r="E63" s="8"/>
      <c r="F63" s="8"/>
      <c r="G63" s="8"/>
      <c r="H63" s="9"/>
      <c r="I63" s="8"/>
      <c r="J63" s="8"/>
    </row>
    <row r="64" spans="1:10" ht="45" customHeight="1">
      <c r="A64" s="9"/>
      <c r="B64" s="8"/>
      <c r="C64" s="8"/>
      <c r="D64" s="8"/>
      <c r="E64" s="8"/>
      <c r="F64" s="8"/>
      <c r="G64" s="8"/>
      <c r="H64" s="9"/>
      <c r="I64" s="8"/>
      <c r="J64" s="8"/>
    </row>
    <row r="65" spans="1:10" ht="45" customHeight="1">
      <c r="A65" s="9"/>
      <c r="B65" s="8"/>
      <c r="C65" s="8"/>
      <c r="D65" s="8"/>
      <c r="E65" s="8"/>
      <c r="F65" s="8"/>
      <c r="G65" s="8"/>
      <c r="H65" s="9"/>
      <c r="I65" s="8"/>
      <c r="J65" s="8"/>
    </row>
    <row r="66" spans="1:10" ht="45" customHeight="1">
      <c r="A66" s="9"/>
      <c r="B66" s="8"/>
      <c r="C66" s="8"/>
      <c r="D66" s="8"/>
      <c r="E66" s="8"/>
      <c r="F66" s="8"/>
      <c r="G66" s="8"/>
      <c r="H66" s="9"/>
      <c r="I66" s="8"/>
      <c r="J66" s="8"/>
    </row>
    <row r="67" spans="1:10" ht="45" customHeight="1">
      <c r="A67" s="9"/>
      <c r="B67" s="8"/>
      <c r="C67" s="8"/>
      <c r="D67" s="8"/>
      <c r="E67" s="8"/>
      <c r="F67" s="8"/>
      <c r="G67" s="8"/>
      <c r="H67" s="9"/>
      <c r="I67" s="8"/>
      <c r="J67" s="8"/>
    </row>
    <row r="68" spans="1:10" ht="45" customHeight="1">
      <c r="A68" s="9"/>
      <c r="B68" s="8"/>
      <c r="C68" s="8"/>
      <c r="D68" s="8"/>
      <c r="E68" s="8"/>
      <c r="F68" s="8"/>
      <c r="G68" s="8"/>
      <c r="H68" s="9"/>
      <c r="I68" s="8"/>
      <c r="J68" s="8"/>
    </row>
    <row r="69" spans="1:10" ht="45" customHeight="1">
      <c r="A69" s="9"/>
      <c r="B69" s="8"/>
      <c r="C69" s="8"/>
      <c r="D69" s="8"/>
      <c r="E69" s="8"/>
      <c r="F69" s="8"/>
      <c r="G69" s="8"/>
      <c r="H69" s="9"/>
      <c r="I69" s="8"/>
      <c r="J69" s="8"/>
    </row>
    <row r="70" spans="1:10" ht="45" customHeight="1">
      <c r="A70" s="9"/>
      <c r="B70" s="8"/>
      <c r="C70" s="8"/>
      <c r="D70" s="8"/>
      <c r="E70" s="8"/>
      <c r="F70" s="8"/>
      <c r="G70" s="8"/>
      <c r="H70" s="9"/>
      <c r="I70" s="8"/>
      <c r="J70" s="8"/>
    </row>
    <row r="71" spans="1:10" ht="45" customHeight="1">
      <c r="A71" s="9"/>
      <c r="B71" s="8"/>
      <c r="C71" s="8"/>
      <c r="D71" s="8"/>
      <c r="E71" s="8"/>
      <c r="F71" s="8"/>
      <c r="G71" s="8"/>
      <c r="H71" s="9"/>
      <c r="I71" s="8"/>
      <c r="J71" s="8"/>
    </row>
    <row r="72" spans="1:10" ht="45" customHeight="1">
      <c r="A72" s="9"/>
      <c r="B72" s="8"/>
      <c r="C72" s="8"/>
      <c r="D72" s="8"/>
      <c r="E72" s="8"/>
      <c r="F72" s="8"/>
      <c r="G72" s="8"/>
      <c r="H72" s="9"/>
      <c r="I72" s="8"/>
      <c r="J72" s="8"/>
    </row>
    <row r="73" spans="1:10" ht="45" customHeight="1">
      <c r="A73" s="9"/>
      <c r="B73" s="8"/>
      <c r="C73" s="8"/>
      <c r="D73" s="8"/>
      <c r="E73" s="8"/>
      <c r="F73" s="8"/>
      <c r="G73" s="8"/>
      <c r="H73" s="9"/>
      <c r="I73" s="8"/>
      <c r="J73" s="8"/>
    </row>
    <row r="74" spans="1:10" ht="45" customHeight="1">
      <c r="A74" s="9"/>
      <c r="B74" s="8"/>
      <c r="C74" s="8"/>
      <c r="D74" s="8"/>
      <c r="E74" s="8"/>
      <c r="F74" s="8"/>
      <c r="G74" s="8"/>
      <c r="H74" s="9"/>
      <c r="I74" s="8"/>
      <c r="J74" s="8"/>
    </row>
    <row r="75" spans="1:10" ht="45" customHeight="1">
      <c r="A75" s="9"/>
      <c r="B75" s="8"/>
      <c r="C75" s="8"/>
      <c r="D75" s="8"/>
      <c r="E75" s="8"/>
      <c r="F75" s="8"/>
      <c r="G75" s="8"/>
      <c r="H75" s="9"/>
      <c r="I75" s="8"/>
      <c r="J75" s="8"/>
    </row>
    <row r="76" spans="1:10" ht="45" customHeight="1">
      <c r="A76" s="15"/>
      <c r="B76" s="14"/>
      <c r="C76" s="14"/>
      <c r="D76" s="14"/>
      <c r="E76" s="14"/>
      <c r="F76" s="14"/>
      <c r="G76" s="14"/>
      <c r="H76" s="15"/>
      <c r="I76" s="14"/>
      <c r="J76" s="14"/>
    </row>
    <row r="77" spans="1:10" ht="45" customHeight="1">
      <c r="A77" s="15"/>
      <c r="B77" s="14"/>
      <c r="C77" s="14"/>
      <c r="D77" s="14"/>
      <c r="E77" s="14"/>
      <c r="F77" s="14"/>
      <c r="G77" s="14"/>
      <c r="H77" s="15"/>
      <c r="I77" s="14"/>
      <c r="J77" s="14"/>
    </row>
    <row r="78" spans="1:10" ht="45" customHeight="1">
      <c r="A78" s="15"/>
      <c r="B78" s="14"/>
      <c r="C78" s="14"/>
      <c r="D78" s="14"/>
      <c r="E78" s="14"/>
      <c r="F78" s="14"/>
      <c r="G78" s="14"/>
      <c r="H78" s="15"/>
      <c r="I78" s="14"/>
      <c r="J78" s="14"/>
    </row>
    <row r="79" spans="1:10" ht="45" customHeight="1">
      <c r="A79" s="15"/>
      <c r="B79" s="14"/>
      <c r="C79" s="14"/>
      <c r="D79" s="14"/>
      <c r="E79" s="14"/>
      <c r="F79" s="14"/>
      <c r="G79" s="14"/>
      <c r="H79" s="15"/>
      <c r="I79" s="14"/>
      <c r="J79" s="14"/>
    </row>
    <row r="80" spans="1:10" ht="45" customHeight="1">
      <c r="A80" s="15"/>
      <c r="B80" s="14"/>
      <c r="C80" s="14"/>
      <c r="D80" s="14"/>
      <c r="E80" s="14"/>
      <c r="F80" s="14"/>
      <c r="G80" s="14"/>
      <c r="H80" s="15"/>
      <c r="I80" s="14"/>
      <c r="J80" s="14"/>
    </row>
    <row r="81" spans="1:10" ht="45" customHeight="1">
      <c r="A81" s="15"/>
      <c r="B81" s="14"/>
      <c r="C81" s="14"/>
      <c r="D81" s="14"/>
      <c r="E81" s="14"/>
      <c r="F81" s="14"/>
      <c r="G81" s="14"/>
      <c r="H81" s="15"/>
      <c r="I81" s="14"/>
      <c r="J81" s="14"/>
    </row>
    <row r="82" spans="1:10" ht="45" customHeight="1">
      <c r="A82" s="15"/>
      <c r="B82" s="14"/>
      <c r="C82" s="14"/>
      <c r="D82" s="14"/>
      <c r="E82" s="14"/>
      <c r="F82" s="14"/>
      <c r="G82" s="14"/>
      <c r="H82" s="15"/>
      <c r="I82" s="14"/>
      <c r="J82" s="14"/>
    </row>
    <row r="83" spans="1:10" ht="45" customHeight="1">
      <c r="A83" s="15"/>
      <c r="B83" s="14"/>
      <c r="C83" s="14"/>
      <c r="D83" s="14"/>
      <c r="E83" s="14"/>
      <c r="F83" s="14"/>
      <c r="G83" s="14"/>
      <c r="H83" s="15"/>
      <c r="I83" s="14"/>
      <c r="J83" s="14"/>
    </row>
    <row r="84" spans="1:10" ht="45" customHeight="1">
      <c r="A84" s="15"/>
      <c r="B84" s="14"/>
      <c r="C84" s="14"/>
      <c r="D84" s="14"/>
      <c r="E84" s="14"/>
      <c r="F84" s="14"/>
      <c r="G84" s="14"/>
      <c r="H84" s="15"/>
      <c r="I84" s="14"/>
      <c r="J84" s="14"/>
    </row>
    <row r="85" spans="1:10" ht="45" customHeight="1">
      <c r="A85" s="15"/>
      <c r="B85" s="14"/>
      <c r="C85" s="14"/>
      <c r="D85" s="14"/>
      <c r="E85" s="14"/>
      <c r="F85" s="14"/>
      <c r="G85" s="14"/>
      <c r="H85" s="15"/>
      <c r="I85" s="14"/>
      <c r="J85" s="14"/>
    </row>
    <row r="86" spans="1:10" ht="45" customHeight="1">
      <c r="A86" s="15"/>
      <c r="B86" s="14"/>
      <c r="C86" s="14"/>
      <c r="D86" s="14"/>
      <c r="E86" s="14"/>
      <c r="F86" s="14"/>
      <c r="G86" s="14"/>
      <c r="H86" s="15"/>
      <c r="I86" s="14"/>
      <c r="J86" s="14"/>
    </row>
    <row r="87" spans="1:10" ht="45" customHeight="1">
      <c r="A87" s="15"/>
      <c r="B87" s="14"/>
      <c r="C87" s="14"/>
      <c r="D87" s="14"/>
      <c r="E87" s="14"/>
      <c r="F87" s="14"/>
      <c r="G87" s="14"/>
      <c r="H87" s="15"/>
      <c r="I87" s="14"/>
      <c r="J87" s="14"/>
    </row>
    <row r="88" spans="1:10" ht="45" customHeight="1">
      <c r="A88" s="15"/>
      <c r="B88" s="14"/>
      <c r="C88" s="14"/>
      <c r="D88" s="14"/>
      <c r="E88" s="14"/>
      <c r="F88" s="14"/>
      <c r="G88" s="14"/>
      <c r="H88" s="15"/>
      <c r="I88" s="14"/>
      <c r="J88" s="14"/>
    </row>
    <row r="89" spans="1:10" ht="45" customHeight="1">
      <c r="A89" s="15"/>
      <c r="B89" s="14"/>
      <c r="C89" s="14"/>
      <c r="D89" s="14"/>
      <c r="E89" s="14"/>
      <c r="F89" s="14"/>
      <c r="G89" s="14"/>
      <c r="H89" s="15"/>
      <c r="I89" s="14"/>
      <c r="J89" s="14"/>
    </row>
    <row r="90" spans="1:10" ht="45" customHeight="1">
      <c r="A90" s="15"/>
      <c r="B90" s="14"/>
      <c r="C90" s="14"/>
      <c r="D90" s="14"/>
      <c r="E90" s="14"/>
      <c r="F90" s="14"/>
      <c r="G90" s="14"/>
      <c r="H90" s="15"/>
      <c r="I90" s="14"/>
      <c r="J90" s="14"/>
    </row>
    <row r="91" spans="1:10" ht="45" customHeight="1">
      <c r="A91" s="15"/>
      <c r="B91" s="14"/>
      <c r="C91" s="14"/>
      <c r="D91" s="14"/>
      <c r="E91" s="14"/>
      <c r="F91" s="14"/>
      <c r="G91" s="14"/>
      <c r="H91" s="15"/>
      <c r="I91" s="14"/>
      <c r="J91" s="14"/>
    </row>
    <row r="92" spans="1:10" ht="45" customHeight="1">
      <c r="A92" s="15"/>
      <c r="B92" s="14"/>
      <c r="C92" s="14"/>
      <c r="D92" s="14"/>
      <c r="E92" s="14"/>
      <c r="F92" s="14"/>
      <c r="G92" s="14"/>
      <c r="H92" s="15"/>
      <c r="I92" s="14"/>
      <c r="J92" s="14"/>
    </row>
    <row r="93" spans="1:10" ht="45" customHeight="1">
      <c r="A93" s="15"/>
      <c r="B93" s="14"/>
      <c r="C93" s="14"/>
      <c r="D93" s="14"/>
      <c r="E93" s="14"/>
      <c r="F93" s="14"/>
      <c r="G93" s="14"/>
      <c r="H93" s="15"/>
      <c r="I93" s="14"/>
      <c r="J93" s="14"/>
    </row>
    <row r="94" spans="1:10" ht="45" customHeight="1">
      <c r="A94" s="15"/>
      <c r="B94" s="14"/>
      <c r="C94" s="14"/>
      <c r="D94" s="14"/>
      <c r="E94" s="14"/>
      <c r="F94" s="14"/>
      <c r="G94" s="14"/>
      <c r="H94" s="15"/>
      <c r="I94" s="14"/>
      <c r="J94" s="14"/>
    </row>
    <row r="95" spans="1:10" ht="45" customHeight="1">
      <c r="A95" s="15"/>
      <c r="B95" s="14"/>
      <c r="C95" s="14"/>
      <c r="D95" s="14"/>
      <c r="E95" s="14"/>
      <c r="F95" s="14"/>
      <c r="G95" s="14"/>
      <c r="H95" s="15"/>
      <c r="I95" s="14"/>
      <c r="J95" s="14"/>
    </row>
    <row r="96" spans="1:10" ht="45" customHeight="1">
      <c r="A96" s="15"/>
      <c r="B96" s="14"/>
      <c r="C96" s="14"/>
      <c r="D96" s="14"/>
      <c r="E96" s="14"/>
      <c r="F96" s="14"/>
      <c r="G96" s="14"/>
      <c r="H96" s="15"/>
      <c r="I96" s="14"/>
      <c r="J96" s="14"/>
    </row>
    <row r="97" spans="1:10" ht="45" customHeight="1">
      <c r="A97" s="15"/>
      <c r="B97" s="14"/>
      <c r="C97" s="14"/>
      <c r="D97" s="14"/>
      <c r="E97" s="14"/>
      <c r="F97" s="14"/>
      <c r="G97" s="14"/>
      <c r="H97" s="15"/>
      <c r="I97" s="14"/>
      <c r="J97" s="14"/>
    </row>
    <row r="98" spans="1:10" ht="45" customHeight="1">
      <c r="A98" s="15"/>
      <c r="B98" s="14"/>
      <c r="C98" s="14"/>
      <c r="D98" s="14"/>
      <c r="E98" s="14"/>
      <c r="F98" s="14"/>
      <c r="G98" s="14"/>
      <c r="H98" s="15"/>
      <c r="I98" s="14"/>
      <c r="J98" s="14"/>
    </row>
    <row r="99" spans="1:10" ht="45" customHeight="1">
      <c r="A99" s="15"/>
      <c r="B99" s="14"/>
      <c r="C99" s="14"/>
      <c r="D99" s="14"/>
      <c r="E99" s="14"/>
      <c r="F99" s="14"/>
      <c r="G99" s="14"/>
      <c r="H99" s="15"/>
      <c r="I99" s="14"/>
      <c r="J99" s="14"/>
    </row>
    <row r="100" spans="1:10" ht="45" customHeight="1">
      <c r="A100" s="15"/>
      <c r="B100" s="14"/>
      <c r="C100" s="14"/>
      <c r="D100" s="14"/>
      <c r="E100" s="14"/>
      <c r="F100" s="14"/>
      <c r="G100" s="14"/>
      <c r="H100" s="15"/>
      <c r="I100" s="14"/>
      <c r="J100" s="14"/>
    </row>
    <row r="101" spans="1:10" ht="45" customHeight="1">
      <c r="A101" s="15"/>
      <c r="B101" s="14"/>
      <c r="C101" s="14"/>
      <c r="D101" s="14"/>
      <c r="E101" s="14"/>
      <c r="F101" s="14"/>
      <c r="G101" s="14"/>
      <c r="H101" s="15"/>
      <c r="I101" s="14"/>
      <c r="J101" s="14"/>
    </row>
    <row r="102" spans="1:10" ht="45" customHeight="1">
      <c r="A102" s="15"/>
      <c r="B102" s="14"/>
      <c r="C102" s="14"/>
      <c r="D102" s="14"/>
      <c r="E102" s="14"/>
      <c r="F102" s="14"/>
      <c r="G102" s="14"/>
      <c r="H102" s="15"/>
      <c r="I102" s="14"/>
      <c r="J102" s="14"/>
    </row>
    <row r="103" spans="1:10" ht="45" customHeight="1">
      <c r="A103" s="15"/>
      <c r="B103" s="14"/>
      <c r="C103" s="14"/>
      <c r="D103" s="14"/>
      <c r="E103" s="14"/>
      <c r="F103" s="14"/>
      <c r="G103" s="14"/>
      <c r="H103" s="15"/>
      <c r="I103" s="14"/>
      <c r="J103" s="14"/>
    </row>
    <row r="104" spans="1:10" ht="45" customHeight="1">
      <c r="A104" s="15"/>
      <c r="B104" s="14"/>
      <c r="C104" s="14"/>
      <c r="D104" s="14"/>
      <c r="E104" s="14"/>
      <c r="F104" s="14"/>
      <c r="G104" s="14"/>
      <c r="H104" s="15"/>
      <c r="I104" s="14"/>
      <c r="J104" s="14"/>
    </row>
    <row r="105" spans="1:10" ht="45" customHeight="1">
      <c r="A105" s="15"/>
      <c r="B105" s="14"/>
      <c r="C105" s="14"/>
      <c r="D105" s="14"/>
      <c r="E105" s="14"/>
      <c r="F105" s="14"/>
      <c r="G105" s="14"/>
      <c r="H105" s="15"/>
      <c r="I105" s="14"/>
      <c r="J105" s="14"/>
    </row>
    <row r="106" spans="1:10" ht="45" customHeight="1">
      <c r="A106" s="15"/>
      <c r="B106" s="14"/>
      <c r="C106" s="14"/>
      <c r="D106" s="14"/>
      <c r="E106" s="14"/>
      <c r="F106" s="14"/>
      <c r="G106" s="14"/>
      <c r="H106" s="15"/>
      <c r="I106" s="14"/>
      <c r="J106" s="14"/>
    </row>
    <row r="107" spans="1:10" ht="45" customHeight="1">
      <c r="A107" s="15"/>
      <c r="B107" s="14"/>
      <c r="C107" s="14"/>
      <c r="D107" s="14"/>
      <c r="E107" s="14"/>
      <c r="F107" s="14"/>
      <c r="G107" s="14"/>
      <c r="H107" s="15"/>
      <c r="I107" s="14"/>
      <c r="J107" s="14"/>
    </row>
    <row r="108" spans="1:10" ht="45" customHeight="1">
      <c r="A108" s="15"/>
      <c r="B108" s="14"/>
      <c r="C108" s="14"/>
      <c r="D108" s="14"/>
      <c r="E108" s="14"/>
      <c r="F108" s="14"/>
      <c r="G108" s="14"/>
      <c r="H108" s="15"/>
      <c r="I108" s="14"/>
      <c r="J108" s="14"/>
    </row>
  </sheetData>
  <mergeCells count="1">
    <mergeCell ref="A4:J4"/>
  </mergeCells>
  <dataValidations count="4">
    <dataValidation type="list" sqref="B9:B108" xr:uid="{00000000-0002-0000-0E00-000000000000}">
      <formula1>Controls</formula1>
    </dataValidation>
    <dataValidation type="list" sqref="C9:C108" xr:uid="{00000000-0002-0000-0E00-000001000000}">
      <formula1>Condition</formula1>
    </dataValidation>
    <dataValidation type="list" sqref="D9:D108" xr:uid="{00000000-0002-0000-0E00-000002000000}">
      <formula1>Trajectory</formula1>
    </dataValidation>
    <dataValidation type="list" sqref="E9:E108" xr:uid="{00000000-0002-0000-0E00-000003000000}">
      <formula1>Confidence</formula1>
    </dataValidation>
  </dataValidations>
  <hyperlinks>
    <hyperlink ref="A6" location="'00 - START HERE'!A1" display="Start here" xr:uid="{00000000-0004-0000-0E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87C78"/>
  </sheetPr>
  <dimension ref="A1:V75"/>
  <sheetViews>
    <sheetView showGridLines="0" zoomScale="85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defaultRowHeight="14.25"/>
  <cols>
    <col min="1" max="1" width="15" customWidth="1"/>
    <col min="2" max="2" width="37" customWidth="1"/>
    <col min="3" max="6" width="20" customWidth="1"/>
    <col min="7" max="7" width="42" customWidth="1"/>
    <col min="8" max="10" width="32" customWidth="1"/>
    <col min="11" max="11" width="20" customWidth="1"/>
    <col min="12" max="12" width="32" customWidth="1"/>
    <col min="13" max="22" width="20" customWidth="1"/>
  </cols>
  <sheetData>
    <row r="1" spans="1:22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.1" customHeight="1">
      <c r="A2" s="2" t="s">
        <v>583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3.950000000000003" customHeight="1">
      <c r="A4" s="21" t="s">
        <v>584</v>
      </c>
      <c r="B4" s="21"/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4" customHeight="1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 t="str">
        <f>"Rows missing an ID: "&amp;SUMPRODUCT(--('15 - AI DELEGATION'!$A$9:$A$58=""),--('15 - AI DELEGATION'!$B$9:$B$58&lt;&gt;""))</f>
        <v>Rows missing an ID: 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3.950000000000003" customHeight="1">
      <c r="A8" s="5" t="s">
        <v>131</v>
      </c>
      <c r="B8" s="5" t="s">
        <v>585</v>
      </c>
      <c r="C8" s="5" t="s">
        <v>191</v>
      </c>
      <c r="D8" s="5" t="s">
        <v>108</v>
      </c>
      <c r="E8" s="5" t="s">
        <v>109</v>
      </c>
      <c r="F8" s="5" t="s">
        <v>139</v>
      </c>
      <c r="G8" s="5" t="s">
        <v>132</v>
      </c>
      <c r="H8" s="5" t="s">
        <v>140</v>
      </c>
      <c r="I8" s="5" t="s">
        <v>115</v>
      </c>
      <c r="J8" s="5" t="s">
        <v>121</v>
      </c>
      <c r="K8" s="5" t="s">
        <v>586</v>
      </c>
      <c r="L8" s="5" t="s">
        <v>587</v>
      </c>
      <c r="M8" s="5" t="s">
        <v>588</v>
      </c>
      <c r="N8" s="5" t="s">
        <v>589</v>
      </c>
      <c r="O8" s="5" t="s">
        <v>590</v>
      </c>
      <c r="P8" s="5" t="s">
        <v>591</v>
      </c>
      <c r="Q8" s="5" t="s">
        <v>592</v>
      </c>
      <c r="R8" s="5" t="s">
        <v>593</v>
      </c>
      <c r="S8" s="5" t="s">
        <v>594</v>
      </c>
      <c r="T8" s="5" t="s">
        <v>595</v>
      </c>
      <c r="U8" s="5" t="s">
        <v>257</v>
      </c>
      <c r="V8" s="5" t="s">
        <v>204</v>
      </c>
    </row>
    <row r="9" spans="1:22" ht="52.7" customHeight="1">
      <c r="A9" s="8" t="s">
        <v>596</v>
      </c>
      <c r="B9" s="8" t="s">
        <v>597</v>
      </c>
      <c r="C9" s="8" t="s">
        <v>265</v>
      </c>
      <c r="D9" s="8" t="s">
        <v>59</v>
      </c>
      <c r="E9" s="9">
        <v>46295</v>
      </c>
      <c r="F9" s="11" t="str">
        <f t="shared" ref="F9:F40" si="0">IF(A9="","",IF(FALSE,"Critical",IF(G9&lt;&gt;"","Review","Routine")))</f>
        <v>Routine</v>
      </c>
      <c r="G9" s="20" t="str">
        <f>IF(A9="","",IF(COUNTIF('15 - AI DELEGATION'!$A$9:$A$58,A9)&gt;1,"DUPLICATE ID ","")&amp;IF(ReviewDate="","SET REVIEW DATE ","")&amp;IF(O9="","REVIEWER MISSING ","")&amp;IF(M9="","ENVIRONMENT NOT DEFINED ","")&amp;IF(R9="","APPROVAL BOUNDARY MISSING ","")&amp;IF(T9="","STOP CONDITION MISSING ",""))</f>
        <v/>
      </c>
      <c r="H9" s="11" t="str">
        <f t="shared" ref="H9:H40" si="1">IF(A9="","",IF(G9&lt;&gt;"","Define permissions, review and stop conditions before delegation.",""))</f>
        <v/>
      </c>
      <c r="I9" s="8" t="s">
        <v>598</v>
      </c>
      <c r="J9" s="8" t="s">
        <v>599</v>
      </c>
      <c r="K9" s="8" t="s">
        <v>600</v>
      </c>
      <c r="L9" s="8" t="s">
        <v>601</v>
      </c>
      <c r="M9" s="8" t="s">
        <v>602</v>
      </c>
      <c r="N9" s="8" t="s">
        <v>603</v>
      </c>
      <c r="O9" s="8" t="s">
        <v>59</v>
      </c>
      <c r="P9" s="8" t="s">
        <v>604</v>
      </c>
      <c r="Q9" s="8" t="s">
        <v>605</v>
      </c>
      <c r="R9" s="8" t="s">
        <v>606</v>
      </c>
      <c r="S9" s="8" t="s">
        <v>607</v>
      </c>
      <c r="T9" s="8" t="s">
        <v>608</v>
      </c>
      <c r="U9" s="8" t="s">
        <v>609</v>
      </c>
      <c r="V9" s="9">
        <v>46295</v>
      </c>
    </row>
    <row r="10" spans="1:22" ht="60" customHeight="1">
      <c r="A10" s="8"/>
      <c r="B10" s="8"/>
      <c r="C10" s="8"/>
      <c r="D10" s="8"/>
      <c r="E10" s="9"/>
      <c r="F10" s="11" t="str">
        <f t="shared" si="0"/>
        <v/>
      </c>
      <c r="G10" s="20" t="str">
        <f>IF(A10="","",IF(COUNTIF('15 - AI DELEGATION'!$A$9:$A$58,A10)&gt;1,"DUPLICATE ID ","")&amp;IF(ReviewDate="","SET REVIEW DATE ","")&amp;IF(O10="","REVIEWER MISSING ","")&amp;IF(M10="","ENVIRONMENT NOT DEFINED ","")&amp;IF(R10="","APPROVAL BOUNDARY MISSING ","")&amp;IF(T10="","STOP CONDITION MISSING ",""))</f>
        <v/>
      </c>
      <c r="H10" s="11" t="str">
        <f t="shared" si="1"/>
        <v/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9"/>
    </row>
    <row r="11" spans="1:22" ht="60" customHeight="1">
      <c r="A11" s="8"/>
      <c r="B11" s="8"/>
      <c r="C11" s="8"/>
      <c r="D11" s="8"/>
      <c r="E11" s="9"/>
      <c r="F11" s="11" t="str">
        <f t="shared" si="0"/>
        <v/>
      </c>
      <c r="G11" s="20" t="str">
        <f>IF(A11="","",IF(COUNTIF('15 - AI DELEGATION'!$A$9:$A$58,A11)&gt;1,"DUPLICATE ID ","")&amp;IF(ReviewDate="","SET REVIEW DATE ","")&amp;IF(O11="","REVIEWER MISSING ","")&amp;IF(M11="","ENVIRONMENT NOT DEFINED ","")&amp;IF(R11="","APPROVAL BOUNDARY MISSING ","")&amp;IF(T11="","STOP CONDITION MISSING ",""))</f>
        <v/>
      </c>
      <c r="H11" s="11" t="str">
        <f t="shared" si="1"/>
        <v/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9"/>
    </row>
    <row r="12" spans="1:22" ht="60" customHeight="1">
      <c r="A12" s="8"/>
      <c r="B12" s="8"/>
      <c r="C12" s="8"/>
      <c r="D12" s="8"/>
      <c r="E12" s="9"/>
      <c r="F12" s="11" t="str">
        <f t="shared" si="0"/>
        <v/>
      </c>
      <c r="G12" s="20" t="str">
        <f>IF(A12="","",IF(COUNTIF('15 - AI DELEGATION'!$A$9:$A$58,A12)&gt;1,"DUPLICATE ID ","")&amp;IF(ReviewDate="","SET REVIEW DATE ","")&amp;IF(O12="","REVIEWER MISSING ","")&amp;IF(M12="","ENVIRONMENT NOT DEFINED ","")&amp;IF(R12="","APPROVAL BOUNDARY MISSING ","")&amp;IF(T12="","STOP CONDITION MISSING ",""))</f>
        <v/>
      </c>
      <c r="H12" s="11" t="str">
        <f t="shared" si="1"/>
        <v/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9"/>
    </row>
    <row r="13" spans="1:22" ht="60" customHeight="1">
      <c r="A13" s="8"/>
      <c r="B13" s="8"/>
      <c r="C13" s="8"/>
      <c r="D13" s="8"/>
      <c r="E13" s="9"/>
      <c r="F13" s="11" t="str">
        <f t="shared" si="0"/>
        <v/>
      </c>
      <c r="G13" s="20" t="str">
        <f>IF(A13="","",IF(COUNTIF('15 - AI DELEGATION'!$A$9:$A$58,A13)&gt;1,"DUPLICATE ID ","")&amp;IF(ReviewDate="","SET REVIEW DATE ","")&amp;IF(O13="","REVIEWER MISSING ","")&amp;IF(M13="","ENVIRONMENT NOT DEFINED ","")&amp;IF(R13="","APPROVAL BOUNDARY MISSING ","")&amp;IF(T13="","STOP CONDITION MISSING ",""))</f>
        <v/>
      </c>
      <c r="H13" s="11" t="str">
        <f t="shared" si="1"/>
        <v/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9"/>
    </row>
    <row r="14" spans="1:22" ht="60" customHeight="1">
      <c r="A14" s="8"/>
      <c r="B14" s="8"/>
      <c r="C14" s="8"/>
      <c r="D14" s="8"/>
      <c r="E14" s="9"/>
      <c r="F14" s="11" t="str">
        <f t="shared" si="0"/>
        <v/>
      </c>
      <c r="G14" s="20" t="str">
        <f>IF(A14="","",IF(COUNTIF('15 - AI DELEGATION'!$A$9:$A$58,A14)&gt;1,"DUPLICATE ID ","")&amp;IF(ReviewDate="","SET REVIEW DATE ","")&amp;IF(O14="","REVIEWER MISSING ","")&amp;IF(M14="","ENVIRONMENT NOT DEFINED ","")&amp;IF(R14="","APPROVAL BOUNDARY MISSING ","")&amp;IF(T14="","STOP CONDITION MISSING ",""))</f>
        <v/>
      </c>
      <c r="H14" s="11" t="str">
        <f t="shared" si="1"/>
        <v/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9"/>
    </row>
    <row r="15" spans="1:22" ht="60" customHeight="1">
      <c r="A15" s="8"/>
      <c r="B15" s="8"/>
      <c r="C15" s="8"/>
      <c r="D15" s="8"/>
      <c r="E15" s="9"/>
      <c r="F15" s="11" t="str">
        <f t="shared" si="0"/>
        <v/>
      </c>
      <c r="G15" s="20" t="str">
        <f>IF(A15="","",IF(COUNTIF('15 - AI DELEGATION'!$A$9:$A$58,A15)&gt;1,"DUPLICATE ID ","")&amp;IF(ReviewDate="","SET REVIEW DATE ","")&amp;IF(O15="","REVIEWER MISSING ","")&amp;IF(M15="","ENVIRONMENT NOT DEFINED ","")&amp;IF(R15="","APPROVAL BOUNDARY MISSING ","")&amp;IF(T15="","STOP CONDITION MISSING ",""))</f>
        <v/>
      </c>
      <c r="H15" s="11" t="str">
        <f t="shared" si="1"/>
        <v/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9"/>
    </row>
    <row r="16" spans="1:22" ht="60" customHeight="1">
      <c r="A16" s="8"/>
      <c r="B16" s="8"/>
      <c r="C16" s="8"/>
      <c r="D16" s="8"/>
      <c r="E16" s="9"/>
      <c r="F16" s="11" t="str">
        <f t="shared" si="0"/>
        <v/>
      </c>
      <c r="G16" s="20" t="str">
        <f>IF(A16="","",IF(COUNTIF('15 - AI DELEGATION'!$A$9:$A$58,A16)&gt;1,"DUPLICATE ID ","")&amp;IF(ReviewDate="","SET REVIEW DATE ","")&amp;IF(O16="","REVIEWER MISSING ","")&amp;IF(M16="","ENVIRONMENT NOT DEFINED ","")&amp;IF(R16="","APPROVAL BOUNDARY MISSING ","")&amp;IF(T16="","STOP CONDITION MISSING ",""))</f>
        <v/>
      </c>
      <c r="H16" s="11" t="str">
        <f t="shared" si="1"/>
        <v/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9"/>
    </row>
    <row r="17" spans="1:22" ht="60" customHeight="1">
      <c r="A17" s="8"/>
      <c r="B17" s="8"/>
      <c r="C17" s="8"/>
      <c r="D17" s="8"/>
      <c r="E17" s="9"/>
      <c r="F17" s="11" t="str">
        <f t="shared" si="0"/>
        <v/>
      </c>
      <c r="G17" s="20" t="str">
        <f>IF(A17="","",IF(COUNTIF('15 - AI DELEGATION'!$A$9:$A$58,A17)&gt;1,"DUPLICATE ID ","")&amp;IF(ReviewDate="","SET REVIEW DATE ","")&amp;IF(O17="","REVIEWER MISSING ","")&amp;IF(M17="","ENVIRONMENT NOT DEFINED ","")&amp;IF(R17="","APPROVAL BOUNDARY MISSING ","")&amp;IF(T17="","STOP CONDITION MISSING ",""))</f>
        <v/>
      </c>
      <c r="H17" s="11" t="str">
        <f t="shared" si="1"/>
        <v/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9"/>
    </row>
    <row r="18" spans="1:22" ht="60" customHeight="1">
      <c r="A18" s="8"/>
      <c r="B18" s="8"/>
      <c r="C18" s="8"/>
      <c r="D18" s="8"/>
      <c r="E18" s="9"/>
      <c r="F18" s="11" t="str">
        <f t="shared" si="0"/>
        <v/>
      </c>
      <c r="G18" s="20" t="str">
        <f>IF(A18="","",IF(COUNTIF('15 - AI DELEGATION'!$A$9:$A$58,A18)&gt;1,"DUPLICATE ID ","")&amp;IF(ReviewDate="","SET REVIEW DATE ","")&amp;IF(O18="","REVIEWER MISSING ","")&amp;IF(M18="","ENVIRONMENT NOT DEFINED ","")&amp;IF(R18="","APPROVAL BOUNDARY MISSING ","")&amp;IF(T18="","STOP CONDITION MISSING ",""))</f>
        <v/>
      </c>
      <c r="H18" s="11" t="str">
        <f t="shared" si="1"/>
        <v/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ht="60" customHeight="1">
      <c r="A19" s="8"/>
      <c r="B19" s="8"/>
      <c r="C19" s="8"/>
      <c r="D19" s="8"/>
      <c r="E19" s="9"/>
      <c r="F19" s="11" t="str">
        <f t="shared" si="0"/>
        <v/>
      </c>
      <c r="G19" s="20" t="str">
        <f>IF(A19="","",IF(COUNTIF('15 - AI DELEGATION'!$A$9:$A$58,A19)&gt;1,"DUPLICATE ID ","")&amp;IF(ReviewDate="","SET REVIEW DATE ","")&amp;IF(O19="","REVIEWER MISSING ","")&amp;IF(M19="","ENVIRONMENT NOT DEFINED ","")&amp;IF(R19="","APPROVAL BOUNDARY MISSING ","")&amp;IF(T19="","STOP CONDITION MISSING ",""))</f>
        <v/>
      </c>
      <c r="H19" s="11" t="str">
        <f t="shared" si="1"/>
        <v/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9"/>
    </row>
    <row r="20" spans="1:22" ht="60" customHeight="1">
      <c r="A20" s="8"/>
      <c r="B20" s="8"/>
      <c r="C20" s="8"/>
      <c r="D20" s="8"/>
      <c r="E20" s="9"/>
      <c r="F20" s="11" t="str">
        <f t="shared" si="0"/>
        <v/>
      </c>
      <c r="G20" s="20" t="str">
        <f>IF(A20="","",IF(COUNTIF('15 - AI DELEGATION'!$A$9:$A$58,A20)&gt;1,"DUPLICATE ID ","")&amp;IF(ReviewDate="","SET REVIEW DATE ","")&amp;IF(O20="","REVIEWER MISSING ","")&amp;IF(M20="","ENVIRONMENT NOT DEFINED ","")&amp;IF(R20="","APPROVAL BOUNDARY MISSING ","")&amp;IF(T20="","STOP CONDITION MISSING ",""))</f>
        <v/>
      </c>
      <c r="H20" s="11" t="str">
        <f t="shared" si="1"/>
        <v/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9"/>
    </row>
    <row r="21" spans="1:22" ht="60" customHeight="1">
      <c r="A21" s="8"/>
      <c r="B21" s="8"/>
      <c r="C21" s="8"/>
      <c r="D21" s="8"/>
      <c r="E21" s="9"/>
      <c r="F21" s="11" t="str">
        <f t="shared" si="0"/>
        <v/>
      </c>
      <c r="G21" s="20" t="str">
        <f>IF(A21="","",IF(COUNTIF('15 - AI DELEGATION'!$A$9:$A$58,A21)&gt;1,"DUPLICATE ID ","")&amp;IF(ReviewDate="","SET REVIEW DATE ","")&amp;IF(O21="","REVIEWER MISSING ","")&amp;IF(M21="","ENVIRONMENT NOT DEFINED ","")&amp;IF(R21="","APPROVAL BOUNDARY MISSING ","")&amp;IF(T21="","STOP CONDITION MISSING ",""))</f>
        <v/>
      </c>
      <c r="H21" s="11" t="str">
        <f t="shared" si="1"/>
        <v/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9"/>
    </row>
    <row r="22" spans="1:22" ht="60" customHeight="1">
      <c r="A22" s="8"/>
      <c r="B22" s="8"/>
      <c r="C22" s="8"/>
      <c r="D22" s="8"/>
      <c r="E22" s="9"/>
      <c r="F22" s="11" t="str">
        <f t="shared" si="0"/>
        <v/>
      </c>
      <c r="G22" s="20" t="str">
        <f>IF(A22="","",IF(COUNTIF('15 - AI DELEGATION'!$A$9:$A$58,A22)&gt;1,"DUPLICATE ID ","")&amp;IF(ReviewDate="","SET REVIEW DATE ","")&amp;IF(O22="","REVIEWER MISSING ","")&amp;IF(M22="","ENVIRONMENT NOT DEFINED ","")&amp;IF(R22="","APPROVAL BOUNDARY MISSING ","")&amp;IF(T22="","STOP CONDITION MISSING ",""))</f>
        <v/>
      </c>
      <c r="H22" s="11" t="str">
        <f t="shared" si="1"/>
        <v/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9"/>
    </row>
    <row r="23" spans="1:22" ht="60" customHeight="1">
      <c r="A23" s="8"/>
      <c r="B23" s="8"/>
      <c r="C23" s="8"/>
      <c r="D23" s="8"/>
      <c r="E23" s="9"/>
      <c r="F23" s="11" t="str">
        <f t="shared" si="0"/>
        <v/>
      </c>
      <c r="G23" s="20" t="str">
        <f>IF(A23="","",IF(COUNTIF('15 - AI DELEGATION'!$A$9:$A$58,A23)&gt;1,"DUPLICATE ID ","")&amp;IF(ReviewDate="","SET REVIEW DATE ","")&amp;IF(O23="","REVIEWER MISSING ","")&amp;IF(M23="","ENVIRONMENT NOT DEFINED ","")&amp;IF(R23="","APPROVAL BOUNDARY MISSING ","")&amp;IF(T23="","STOP CONDITION MISSING ",""))</f>
        <v/>
      </c>
      <c r="H23" s="11" t="str">
        <f t="shared" si="1"/>
        <v/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9"/>
    </row>
    <row r="24" spans="1:22" ht="60" customHeight="1">
      <c r="A24" s="8"/>
      <c r="B24" s="8"/>
      <c r="C24" s="8"/>
      <c r="D24" s="8"/>
      <c r="E24" s="9"/>
      <c r="F24" s="11" t="str">
        <f t="shared" si="0"/>
        <v/>
      </c>
      <c r="G24" s="20" t="str">
        <f>IF(A24="","",IF(COUNTIF('15 - AI DELEGATION'!$A$9:$A$58,A24)&gt;1,"DUPLICATE ID ","")&amp;IF(ReviewDate="","SET REVIEW DATE ","")&amp;IF(O24="","REVIEWER MISSING ","")&amp;IF(M24="","ENVIRONMENT NOT DEFINED ","")&amp;IF(R24="","APPROVAL BOUNDARY MISSING ","")&amp;IF(T24="","STOP CONDITION MISSING ",""))</f>
        <v/>
      </c>
      <c r="H24" s="11" t="str">
        <f t="shared" si="1"/>
        <v/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9"/>
    </row>
    <row r="25" spans="1:22" ht="60" customHeight="1">
      <c r="A25" s="8"/>
      <c r="B25" s="8"/>
      <c r="C25" s="8"/>
      <c r="D25" s="8"/>
      <c r="E25" s="9"/>
      <c r="F25" s="11" t="str">
        <f t="shared" si="0"/>
        <v/>
      </c>
      <c r="G25" s="20" t="str">
        <f>IF(A25="","",IF(COUNTIF('15 - AI DELEGATION'!$A$9:$A$58,A25)&gt;1,"DUPLICATE ID ","")&amp;IF(ReviewDate="","SET REVIEW DATE ","")&amp;IF(O25="","REVIEWER MISSING ","")&amp;IF(M25="","ENVIRONMENT NOT DEFINED ","")&amp;IF(R25="","APPROVAL BOUNDARY MISSING ","")&amp;IF(T25="","STOP CONDITION MISSING ",""))</f>
        <v/>
      </c>
      <c r="H25" s="11" t="str">
        <f t="shared" si="1"/>
        <v/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9"/>
    </row>
    <row r="26" spans="1:22" ht="60" customHeight="1">
      <c r="A26" s="8"/>
      <c r="B26" s="8"/>
      <c r="C26" s="8"/>
      <c r="D26" s="8"/>
      <c r="E26" s="9"/>
      <c r="F26" s="11" t="str">
        <f t="shared" si="0"/>
        <v/>
      </c>
      <c r="G26" s="20" t="str">
        <f>IF(A26="","",IF(COUNTIF('15 - AI DELEGATION'!$A$9:$A$58,A26)&gt;1,"DUPLICATE ID ","")&amp;IF(ReviewDate="","SET REVIEW DATE ","")&amp;IF(O26="","REVIEWER MISSING ","")&amp;IF(M26="","ENVIRONMENT NOT DEFINED ","")&amp;IF(R26="","APPROVAL BOUNDARY MISSING ","")&amp;IF(T26="","STOP CONDITION MISSING ",""))</f>
        <v/>
      </c>
      <c r="H26" s="11" t="str">
        <f t="shared" si="1"/>
        <v/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</row>
    <row r="27" spans="1:22" ht="60" customHeight="1">
      <c r="A27" s="8"/>
      <c r="B27" s="8"/>
      <c r="C27" s="8"/>
      <c r="D27" s="8"/>
      <c r="E27" s="9"/>
      <c r="F27" s="11" t="str">
        <f t="shared" si="0"/>
        <v/>
      </c>
      <c r="G27" s="20" t="str">
        <f>IF(A27="","",IF(COUNTIF('15 - AI DELEGATION'!$A$9:$A$58,A27)&gt;1,"DUPLICATE ID ","")&amp;IF(ReviewDate="","SET REVIEW DATE ","")&amp;IF(O27="","REVIEWER MISSING ","")&amp;IF(M27="","ENVIRONMENT NOT DEFINED ","")&amp;IF(R27="","APPROVAL BOUNDARY MISSING ","")&amp;IF(T27="","STOP CONDITION MISSING ",""))</f>
        <v/>
      </c>
      <c r="H27" s="11" t="str">
        <f t="shared" si="1"/>
        <v/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9"/>
    </row>
    <row r="28" spans="1:22" ht="60" customHeight="1">
      <c r="A28" s="8"/>
      <c r="B28" s="8"/>
      <c r="C28" s="8"/>
      <c r="D28" s="8"/>
      <c r="E28" s="9"/>
      <c r="F28" s="11" t="str">
        <f t="shared" si="0"/>
        <v/>
      </c>
      <c r="G28" s="20" t="str">
        <f>IF(A28="","",IF(COUNTIF('15 - AI DELEGATION'!$A$9:$A$58,A28)&gt;1,"DUPLICATE ID ","")&amp;IF(ReviewDate="","SET REVIEW DATE ","")&amp;IF(O28="","REVIEWER MISSING ","")&amp;IF(M28="","ENVIRONMENT NOT DEFINED ","")&amp;IF(R28="","APPROVAL BOUNDARY MISSING ","")&amp;IF(T28="","STOP CONDITION MISSING ",""))</f>
        <v/>
      </c>
      <c r="H28" s="11" t="str">
        <f t="shared" si="1"/>
        <v/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9"/>
    </row>
    <row r="29" spans="1:22" ht="60" customHeight="1">
      <c r="A29" s="8"/>
      <c r="B29" s="8"/>
      <c r="C29" s="8"/>
      <c r="D29" s="8"/>
      <c r="E29" s="9"/>
      <c r="F29" s="11" t="str">
        <f t="shared" si="0"/>
        <v/>
      </c>
      <c r="G29" s="20" t="str">
        <f>IF(A29="","",IF(COUNTIF('15 - AI DELEGATION'!$A$9:$A$58,A29)&gt;1,"DUPLICATE ID ","")&amp;IF(ReviewDate="","SET REVIEW DATE ","")&amp;IF(O29="","REVIEWER MISSING ","")&amp;IF(M29="","ENVIRONMENT NOT DEFINED ","")&amp;IF(R29="","APPROVAL BOUNDARY MISSING ","")&amp;IF(T29="","STOP CONDITION MISSING ",""))</f>
        <v/>
      </c>
      <c r="H29" s="11" t="str">
        <f t="shared" si="1"/>
        <v/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9"/>
    </row>
    <row r="30" spans="1:22" ht="60" customHeight="1">
      <c r="A30" s="8"/>
      <c r="B30" s="8"/>
      <c r="C30" s="8"/>
      <c r="D30" s="8"/>
      <c r="E30" s="9"/>
      <c r="F30" s="11" t="str">
        <f t="shared" si="0"/>
        <v/>
      </c>
      <c r="G30" s="20" t="str">
        <f>IF(A30="","",IF(COUNTIF('15 - AI DELEGATION'!$A$9:$A$58,A30)&gt;1,"DUPLICATE ID ","")&amp;IF(ReviewDate="","SET REVIEW DATE ","")&amp;IF(O30="","REVIEWER MISSING ","")&amp;IF(M30="","ENVIRONMENT NOT DEFINED ","")&amp;IF(R30="","APPROVAL BOUNDARY MISSING ","")&amp;IF(T30="","STOP CONDITION MISSING ",""))</f>
        <v/>
      </c>
      <c r="H30" s="11" t="str">
        <f t="shared" si="1"/>
        <v/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9"/>
    </row>
    <row r="31" spans="1:22" ht="60" customHeight="1">
      <c r="A31" s="8"/>
      <c r="B31" s="8"/>
      <c r="C31" s="8"/>
      <c r="D31" s="8"/>
      <c r="E31" s="9"/>
      <c r="F31" s="11" t="str">
        <f t="shared" si="0"/>
        <v/>
      </c>
      <c r="G31" s="20" t="str">
        <f>IF(A31="","",IF(COUNTIF('15 - AI DELEGATION'!$A$9:$A$58,A31)&gt;1,"DUPLICATE ID ","")&amp;IF(ReviewDate="","SET REVIEW DATE ","")&amp;IF(O31="","REVIEWER MISSING ","")&amp;IF(M31="","ENVIRONMENT NOT DEFINED ","")&amp;IF(R31="","APPROVAL BOUNDARY MISSING ","")&amp;IF(T31="","STOP CONDITION MISSING ",""))</f>
        <v/>
      </c>
      <c r="H31" s="11" t="str">
        <f t="shared" si="1"/>
        <v/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9"/>
    </row>
    <row r="32" spans="1:22" ht="60" customHeight="1">
      <c r="A32" s="8"/>
      <c r="B32" s="8"/>
      <c r="C32" s="8"/>
      <c r="D32" s="8"/>
      <c r="E32" s="9"/>
      <c r="F32" s="11" t="str">
        <f t="shared" si="0"/>
        <v/>
      </c>
      <c r="G32" s="20" t="str">
        <f>IF(A32="","",IF(COUNTIF('15 - AI DELEGATION'!$A$9:$A$58,A32)&gt;1,"DUPLICATE ID ","")&amp;IF(ReviewDate="","SET REVIEW DATE ","")&amp;IF(O32="","REVIEWER MISSING ","")&amp;IF(M32="","ENVIRONMENT NOT DEFINED ","")&amp;IF(R32="","APPROVAL BOUNDARY MISSING ","")&amp;IF(T32="","STOP CONDITION MISSING ",""))</f>
        <v/>
      </c>
      <c r="H32" s="11" t="str">
        <f t="shared" si="1"/>
        <v/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9"/>
    </row>
    <row r="33" spans="1:22" ht="60" customHeight="1">
      <c r="A33" s="8"/>
      <c r="B33" s="8"/>
      <c r="C33" s="8"/>
      <c r="D33" s="8"/>
      <c r="E33" s="9"/>
      <c r="F33" s="11" t="str">
        <f t="shared" si="0"/>
        <v/>
      </c>
      <c r="G33" s="20" t="str">
        <f>IF(A33="","",IF(COUNTIF('15 - AI DELEGATION'!$A$9:$A$58,A33)&gt;1,"DUPLICATE ID ","")&amp;IF(ReviewDate="","SET REVIEW DATE ","")&amp;IF(O33="","REVIEWER MISSING ","")&amp;IF(M33="","ENVIRONMENT NOT DEFINED ","")&amp;IF(R33="","APPROVAL BOUNDARY MISSING ","")&amp;IF(T33="","STOP CONDITION MISSING ",""))</f>
        <v/>
      </c>
      <c r="H33" s="11" t="str">
        <f t="shared" si="1"/>
        <v/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9"/>
    </row>
    <row r="34" spans="1:22" ht="60" customHeight="1">
      <c r="A34" s="8"/>
      <c r="B34" s="8"/>
      <c r="C34" s="8"/>
      <c r="D34" s="8"/>
      <c r="E34" s="9"/>
      <c r="F34" s="11" t="str">
        <f t="shared" si="0"/>
        <v/>
      </c>
      <c r="G34" s="20" t="str">
        <f>IF(A34="","",IF(COUNTIF('15 - AI DELEGATION'!$A$9:$A$58,A34)&gt;1,"DUPLICATE ID ","")&amp;IF(ReviewDate="","SET REVIEW DATE ","")&amp;IF(O34="","REVIEWER MISSING ","")&amp;IF(M34="","ENVIRONMENT NOT DEFINED ","")&amp;IF(R34="","APPROVAL BOUNDARY MISSING ","")&amp;IF(T34="","STOP CONDITION MISSING ",""))</f>
        <v/>
      </c>
      <c r="H34" s="11" t="str">
        <f t="shared" si="1"/>
        <v/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9"/>
    </row>
    <row r="35" spans="1:22" ht="60" customHeight="1">
      <c r="A35" s="8"/>
      <c r="B35" s="8"/>
      <c r="C35" s="8"/>
      <c r="D35" s="8"/>
      <c r="E35" s="9"/>
      <c r="F35" s="11" t="str">
        <f t="shared" si="0"/>
        <v/>
      </c>
      <c r="G35" s="20" t="str">
        <f>IF(A35="","",IF(COUNTIF('15 - AI DELEGATION'!$A$9:$A$58,A35)&gt;1,"DUPLICATE ID ","")&amp;IF(ReviewDate="","SET REVIEW DATE ","")&amp;IF(O35="","REVIEWER MISSING ","")&amp;IF(M35="","ENVIRONMENT NOT DEFINED ","")&amp;IF(R35="","APPROVAL BOUNDARY MISSING ","")&amp;IF(T35="","STOP CONDITION MISSING ",""))</f>
        <v/>
      </c>
      <c r="H35" s="11" t="str">
        <f t="shared" si="1"/>
        <v/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9"/>
    </row>
    <row r="36" spans="1:22" ht="60" customHeight="1">
      <c r="A36" s="8"/>
      <c r="B36" s="8"/>
      <c r="C36" s="8"/>
      <c r="D36" s="8"/>
      <c r="E36" s="9"/>
      <c r="F36" s="11" t="str">
        <f t="shared" si="0"/>
        <v/>
      </c>
      <c r="G36" s="20" t="str">
        <f>IF(A36="","",IF(COUNTIF('15 - AI DELEGATION'!$A$9:$A$58,A36)&gt;1,"DUPLICATE ID ","")&amp;IF(ReviewDate="","SET REVIEW DATE ","")&amp;IF(O36="","REVIEWER MISSING ","")&amp;IF(M36="","ENVIRONMENT NOT DEFINED ","")&amp;IF(R36="","APPROVAL BOUNDARY MISSING ","")&amp;IF(T36="","STOP CONDITION MISSING ",""))</f>
        <v/>
      </c>
      <c r="H36" s="11" t="str">
        <f t="shared" si="1"/>
        <v/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</row>
    <row r="37" spans="1:22" ht="60" customHeight="1">
      <c r="A37" s="8"/>
      <c r="B37" s="8"/>
      <c r="C37" s="8"/>
      <c r="D37" s="8"/>
      <c r="E37" s="9"/>
      <c r="F37" s="11" t="str">
        <f t="shared" si="0"/>
        <v/>
      </c>
      <c r="G37" s="20" t="str">
        <f>IF(A37="","",IF(COUNTIF('15 - AI DELEGATION'!$A$9:$A$58,A37)&gt;1,"DUPLICATE ID ","")&amp;IF(ReviewDate="","SET REVIEW DATE ","")&amp;IF(O37="","REVIEWER MISSING ","")&amp;IF(M37="","ENVIRONMENT NOT DEFINED ","")&amp;IF(R37="","APPROVAL BOUNDARY MISSING ","")&amp;IF(T37="","STOP CONDITION MISSING ",""))</f>
        <v/>
      </c>
      <c r="H37" s="11" t="str">
        <f t="shared" si="1"/>
        <v/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9"/>
    </row>
    <row r="38" spans="1:22" ht="60" customHeight="1">
      <c r="A38" s="8"/>
      <c r="B38" s="8"/>
      <c r="C38" s="8"/>
      <c r="D38" s="8"/>
      <c r="E38" s="9"/>
      <c r="F38" s="11" t="str">
        <f t="shared" si="0"/>
        <v/>
      </c>
      <c r="G38" s="20" t="str">
        <f>IF(A38="","",IF(COUNTIF('15 - AI DELEGATION'!$A$9:$A$58,A38)&gt;1,"DUPLICATE ID ","")&amp;IF(ReviewDate="","SET REVIEW DATE ","")&amp;IF(O38="","REVIEWER MISSING ","")&amp;IF(M38="","ENVIRONMENT NOT DEFINED ","")&amp;IF(R38="","APPROVAL BOUNDARY MISSING ","")&amp;IF(T38="","STOP CONDITION MISSING ",""))</f>
        <v/>
      </c>
      <c r="H38" s="11" t="str">
        <f t="shared" si="1"/>
        <v/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9"/>
    </row>
    <row r="39" spans="1:22" ht="60" customHeight="1">
      <c r="A39" s="8"/>
      <c r="B39" s="8"/>
      <c r="C39" s="8"/>
      <c r="D39" s="8"/>
      <c r="E39" s="9"/>
      <c r="F39" s="11" t="str">
        <f t="shared" si="0"/>
        <v/>
      </c>
      <c r="G39" s="20" t="str">
        <f>IF(A39="","",IF(COUNTIF('15 - AI DELEGATION'!$A$9:$A$58,A39)&gt;1,"DUPLICATE ID ","")&amp;IF(ReviewDate="","SET REVIEW DATE ","")&amp;IF(O39="","REVIEWER MISSING ","")&amp;IF(M39="","ENVIRONMENT NOT DEFINED ","")&amp;IF(R39="","APPROVAL BOUNDARY MISSING ","")&amp;IF(T39="","STOP CONDITION MISSING ",""))</f>
        <v/>
      </c>
      <c r="H39" s="11" t="str">
        <f t="shared" si="1"/>
        <v/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9"/>
    </row>
    <row r="40" spans="1:22" ht="60" customHeight="1">
      <c r="A40" s="8"/>
      <c r="B40" s="8"/>
      <c r="C40" s="8"/>
      <c r="D40" s="8"/>
      <c r="E40" s="9"/>
      <c r="F40" s="11" t="str">
        <f t="shared" si="0"/>
        <v/>
      </c>
      <c r="G40" s="20" t="str">
        <f>IF(A40="","",IF(COUNTIF('15 - AI DELEGATION'!$A$9:$A$58,A40)&gt;1,"DUPLICATE ID ","")&amp;IF(ReviewDate="","SET REVIEW DATE ","")&amp;IF(O40="","REVIEWER MISSING ","")&amp;IF(M40="","ENVIRONMENT NOT DEFINED ","")&amp;IF(R40="","APPROVAL BOUNDARY MISSING ","")&amp;IF(T40="","STOP CONDITION MISSING ",""))</f>
        <v/>
      </c>
      <c r="H40" s="11" t="str">
        <f t="shared" si="1"/>
        <v/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9"/>
    </row>
    <row r="41" spans="1:22" ht="60" customHeight="1">
      <c r="A41" s="8"/>
      <c r="B41" s="8"/>
      <c r="C41" s="8"/>
      <c r="D41" s="8"/>
      <c r="E41" s="9"/>
      <c r="F41" s="11" t="str">
        <f t="shared" ref="F41:F58" si="2">IF(A41="","",IF(FALSE,"Critical",IF(G41&lt;&gt;"","Review","Routine")))</f>
        <v/>
      </c>
      <c r="G41" s="20" t="str">
        <f>IF(A41="","",IF(COUNTIF('15 - AI DELEGATION'!$A$9:$A$58,A41)&gt;1,"DUPLICATE ID ","")&amp;IF(ReviewDate="","SET REVIEW DATE ","")&amp;IF(O41="","REVIEWER MISSING ","")&amp;IF(M41="","ENVIRONMENT NOT DEFINED ","")&amp;IF(R41="","APPROVAL BOUNDARY MISSING ","")&amp;IF(T41="","STOP CONDITION MISSING ",""))</f>
        <v/>
      </c>
      <c r="H41" s="11" t="str">
        <f t="shared" ref="H41:H58" si="3">IF(A41="","",IF(G41&lt;&gt;"","Define permissions, review and stop conditions before delegation.",""))</f>
        <v/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</row>
    <row r="42" spans="1:22" ht="60" customHeight="1">
      <c r="A42" s="8"/>
      <c r="B42" s="8"/>
      <c r="C42" s="8"/>
      <c r="D42" s="8"/>
      <c r="E42" s="9"/>
      <c r="F42" s="11" t="str">
        <f t="shared" si="2"/>
        <v/>
      </c>
      <c r="G42" s="20" t="str">
        <f>IF(A42="","",IF(COUNTIF('15 - AI DELEGATION'!$A$9:$A$58,A42)&gt;1,"DUPLICATE ID ","")&amp;IF(ReviewDate="","SET REVIEW DATE ","")&amp;IF(O42="","REVIEWER MISSING ","")&amp;IF(M42="","ENVIRONMENT NOT DEFINED ","")&amp;IF(R42="","APPROVAL BOUNDARY MISSING ","")&amp;IF(T42="","STOP CONDITION MISSING ",""))</f>
        <v/>
      </c>
      <c r="H42" s="11" t="str">
        <f t="shared" si="3"/>
        <v/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9"/>
    </row>
    <row r="43" spans="1:22" ht="60" customHeight="1">
      <c r="A43" s="8"/>
      <c r="B43" s="8"/>
      <c r="C43" s="8"/>
      <c r="D43" s="8"/>
      <c r="E43" s="9"/>
      <c r="F43" s="11" t="str">
        <f t="shared" si="2"/>
        <v/>
      </c>
      <c r="G43" s="20" t="str">
        <f>IF(A43="","",IF(COUNTIF('15 - AI DELEGATION'!$A$9:$A$58,A43)&gt;1,"DUPLICATE ID ","")&amp;IF(ReviewDate="","SET REVIEW DATE ","")&amp;IF(O43="","REVIEWER MISSING ","")&amp;IF(M43="","ENVIRONMENT NOT DEFINED ","")&amp;IF(R43="","APPROVAL BOUNDARY MISSING ","")&amp;IF(T43="","STOP CONDITION MISSING ",""))</f>
        <v/>
      </c>
      <c r="H43" s="11" t="str">
        <f t="shared" si="3"/>
        <v/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9"/>
    </row>
    <row r="44" spans="1:22" ht="60" customHeight="1">
      <c r="A44" s="8"/>
      <c r="B44" s="8"/>
      <c r="C44" s="8"/>
      <c r="D44" s="8"/>
      <c r="E44" s="9"/>
      <c r="F44" s="11" t="str">
        <f t="shared" si="2"/>
        <v/>
      </c>
      <c r="G44" s="20" t="str">
        <f>IF(A44="","",IF(COUNTIF('15 - AI DELEGATION'!$A$9:$A$58,A44)&gt;1,"DUPLICATE ID ","")&amp;IF(ReviewDate="","SET REVIEW DATE ","")&amp;IF(O44="","REVIEWER MISSING ","")&amp;IF(M44="","ENVIRONMENT NOT DEFINED ","")&amp;IF(R44="","APPROVAL BOUNDARY MISSING ","")&amp;IF(T44="","STOP CONDITION MISSING ",""))</f>
        <v/>
      </c>
      <c r="H44" s="11" t="str">
        <f t="shared" si="3"/>
        <v/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9"/>
    </row>
    <row r="45" spans="1:22" ht="60" customHeight="1">
      <c r="A45" s="8"/>
      <c r="B45" s="8"/>
      <c r="C45" s="8"/>
      <c r="D45" s="8"/>
      <c r="E45" s="9"/>
      <c r="F45" s="11" t="str">
        <f t="shared" si="2"/>
        <v/>
      </c>
      <c r="G45" s="20" t="str">
        <f>IF(A45="","",IF(COUNTIF('15 - AI DELEGATION'!$A$9:$A$58,A45)&gt;1,"DUPLICATE ID ","")&amp;IF(ReviewDate="","SET REVIEW DATE ","")&amp;IF(O45="","REVIEWER MISSING ","")&amp;IF(M45="","ENVIRONMENT NOT DEFINED ","")&amp;IF(R45="","APPROVAL BOUNDARY MISSING ","")&amp;IF(T45="","STOP CONDITION MISSING ",""))</f>
        <v/>
      </c>
      <c r="H45" s="11" t="str">
        <f t="shared" si="3"/>
        <v/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9"/>
    </row>
    <row r="46" spans="1:22" ht="60" customHeight="1">
      <c r="A46" s="8"/>
      <c r="B46" s="8"/>
      <c r="C46" s="8"/>
      <c r="D46" s="8"/>
      <c r="E46" s="9"/>
      <c r="F46" s="11" t="str">
        <f t="shared" si="2"/>
        <v/>
      </c>
      <c r="G46" s="20" t="str">
        <f>IF(A46="","",IF(COUNTIF('15 - AI DELEGATION'!$A$9:$A$58,A46)&gt;1,"DUPLICATE ID ","")&amp;IF(ReviewDate="","SET REVIEW DATE ","")&amp;IF(O46="","REVIEWER MISSING ","")&amp;IF(M46="","ENVIRONMENT NOT DEFINED ","")&amp;IF(R46="","APPROVAL BOUNDARY MISSING ","")&amp;IF(T46="","STOP CONDITION MISSING ",""))</f>
        <v/>
      </c>
      <c r="H46" s="11" t="str">
        <f t="shared" si="3"/>
        <v/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9"/>
    </row>
    <row r="47" spans="1:22" ht="60" customHeight="1">
      <c r="A47" s="8"/>
      <c r="B47" s="8"/>
      <c r="C47" s="8"/>
      <c r="D47" s="8"/>
      <c r="E47" s="9"/>
      <c r="F47" s="11" t="str">
        <f t="shared" si="2"/>
        <v/>
      </c>
      <c r="G47" s="20" t="str">
        <f>IF(A47="","",IF(COUNTIF('15 - AI DELEGATION'!$A$9:$A$58,A47)&gt;1,"DUPLICATE ID ","")&amp;IF(ReviewDate="","SET REVIEW DATE ","")&amp;IF(O47="","REVIEWER MISSING ","")&amp;IF(M47="","ENVIRONMENT NOT DEFINED ","")&amp;IF(R47="","APPROVAL BOUNDARY MISSING ","")&amp;IF(T47="","STOP CONDITION MISSING ",""))</f>
        <v/>
      </c>
      <c r="H47" s="11" t="str">
        <f t="shared" si="3"/>
        <v/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9"/>
    </row>
    <row r="48" spans="1:22" ht="60" customHeight="1">
      <c r="A48" s="8"/>
      <c r="B48" s="8"/>
      <c r="C48" s="8"/>
      <c r="D48" s="8"/>
      <c r="E48" s="9"/>
      <c r="F48" s="11" t="str">
        <f t="shared" si="2"/>
        <v/>
      </c>
      <c r="G48" s="20" t="str">
        <f>IF(A48="","",IF(COUNTIF('15 - AI DELEGATION'!$A$9:$A$58,A48)&gt;1,"DUPLICATE ID ","")&amp;IF(ReviewDate="","SET REVIEW DATE ","")&amp;IF(O48="","REVIEWER MISSING ","")&amp;IF(M48="","ENVIRONMENT NOT DEFINED ","")&amp;IF(R48="","APPROVAL BOUNDARY MISSING ","")&amp;IF(T48="","STOP CONDITION MISSING ",""))</f>
        <v/>
      </c>
      <c r="H48" s="11" t="str">
        <f t="shared" si="3"/>
        <v/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9"/>
    </row>
    <row r="49" spans="1:22" ht="60" customHeight="1">
      <c r="A49" s="8"/>
      <c r="B49" s="8"/>
      <c r="C49" s="8"/>
      <c r="D49" s="8"/>
      <c r="E49" s="9"/>
      <c r="F49" s="11" t="str">
        <f t="shared" si="2"/>
        <v/>
      </c>
      <c r="G49" s="20" t="str">
        <f>IF(A49="","",IF(COUNTIF('15 - AI DELEGATION'!$A$9:$A$58,A49)&gt;1,"DUPLICATE ID ","")&amp;IF(ReviewDate="","SET REVIEW DATE ","")&amp;IF(O49="","REVIEWER MISSING ","")&amp;IF(M49="","ENVIRONMENT NOT DEFINED ","")&amp;IF(R49="","APPROVAL BOUNDARY MISSING ","")&amp;IF(T49="","STOP CONDITION MISSING ",""))</f>
        <v/>
      </c>
      <c r="H49" s="11" t="str">
        <f t="shared" si="3"/>
        <v/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9"/>
    </row>
    <row r="50" spans="1:22" ht="60" customHeight="1">
      <c r="A50" s="8"/>
      <c r="B50" s="8"/>
      <c r="C50" s="8"/>
      <c r="D50" s="8"/>
      <c r="E50" s="9"/>
      <c r="F50" s="11" t="str">
        <f t="shared" si="2"/>
        <v/>
      </c>
      <c r="G50" s="20" t="str">
        <f>IF(A50="","",IF(COUNTIF('15 - AI DELEGATION'!$A$9:$A$58,A50)&gt;1,"DUPLICATE ID ","")&amp;IF(ReviewDate="","SET REVIEW DATE ","")&amp;IF(O50="","REVIEWER MISSING ","")&amp;IF(M50="","ENVIRONMENT NOT DEFINED ","")&amp;IF(R50="","APPROVAL BOUNDARY MISSING ","")&amp;IF(T50="","STOP CONDITION MISSING ",""))</f>
        <v/>
      </c>
      <c r="H50" s="11" t="str">
        <f t="shared" si="3"/>
        <v/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9"/>
    </row>
    <row r="51" spans="1:22" ht="60" customHeight="1">
      <c r="A51" s="8"/>
      <c r="B51" s="8"/>
      <c r="C51" s="8"/>
      <c r="D51" s="8"/>
      <c r="E51" s="9"/>
      <c r="F51" s="11" t="str">
        <f t="shared" si="2"/>
        <v/>
      </c>
      <c r="G51" s="20" t="str">
        <f>IF(A51="","",IF(COUNTIF('15 - AI DELEGATION'!$A$9:$A$58,A51)&gt;1,"DUPLICATE ID ","")&amp;IF(ReviewDate="","SET REVIEW DATE ","")&amp;IF(O51="","REVIEWER MISSING ","")&amp;IF(M51="","ENVIRONMENT NOT DEFINED ","")&amp;IF(R51="","APPROVAL BOUNDARY MISSING ","")&amp;IF(T51="","STOP CONDITION MISSING ",""))</f>
        <v/>
      </c>
      <c r="H51" s="11" t="str">
        <f t="shared" si="3"/>
        <v/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9"/>
    </row>
    <row r="52" spans="1:22" ht="60" customHeight="1">
      <c r="A52" s="8"/>
      <c r="B52" s="8"/>
      <c r="C52" s="8"/>
      <c r="D52" s="8"/>
      <c r="E52" s="9"/>
      <c r="F52" s="11" t="str">
        <f t="shared" si="2"/>
        <v/>
      </c>
      <c r="G52" s="20" t="str">
        <f>IF(A52="","",IF(COUNTIF('15 - AI DELEGATION'!$A$9:$A$58,A52)&gt;1,"DUPLICATE ID ","")&amp;IF(ReviewDate="","SET REVIEW DATE ","")&amp;IF(O52="","REVIEWER MISSING ","")&amp;IF(M52="","ENVIRONMENT NOT DEFINED ","")&amp;IF(R52="","APPROVAL BOUNDARY MISSING ","")&amp;IF(T52="","STOP CONDITION MISSING ",""))</f>
        <v/>
      </c>
      <c r="H52" s="11" t="str">
        <f t="shared" si="3"/>
        <v/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9"/>
    </row>
    <row r="53" spans="1:22" ht="60" customHeight="1">
      <c r="A53" s="8"/>
      <c r="B53" s="8"/>
      <c r="C53" s="8"/>
      <c r="D53" s="8"/>
      <c r="E53" s="9"/>
      <c r="F53" s="11" t="str">
        <f t="shared" si="2"/>
        <v/>
      </c>
      <c r="G53" s="20" t="str">
        <f>IF(A53="","",IF(COUNTIF('15 - AI DELEGATION'!$A$9:$A$58,A53)&gt;1,"DUPLICATE ID ","")&amp;IF(ReviewDate="","SET REVIEW DATE ","")&amp;IF(O53="","REVIEWER MISSING ","")&amp;IF(M53="","ENVIRONMENT NOT DEFINED ","")&amp;IF(R53="","APPROVAL BOUNDARY MISSING ","")&amp;IF(T53="","STOP CONDITION MISSING ",""))</f>
        <v/>
      </c>
      <c r="H53" s="11" t="str">
        <f t="shared" si="3"/>
        <v/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9"/>
    </row>
    <row r="54" spans="1:22" ht="60" customHeight="1">
      <c r="A54" s="8"/>
      <c r="B54" s="8"/>
      <c r="C54" s="8"/>
      <c r="D54" s="8"/>
      <c r="E54" s="9"/>
      <c r="F54" s="11" t="str">
        <f t="shared" si="2"/>
        <v/>
      </c>
      <c r="G54" s="20" t="str">
        <f>IF(A54="","",IF(COUNTIF('15 - AI DELEGATION'!$A$9:$A$58,A54)&gt;1,"DUPLICATE ID ","")&amp;IF(ReviewDate="","SET REVIEW DATE ","")&amp;IF(O54="","REVIEWER MISSING ","")&amp;IF(M54="","ENVIRONMENT NOT DEFINED ","")&amp;IF(R54="","APPROVAL BOUNDARY MISSING ","")&amp;IF(T54="","STOP CONDITION MISSING ",""))</f>
        <v/>
      </c>
      <c r="H54" s="11" t="str">
        <f t="shared" si="3"/>
        <v/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9"/>
    </row>
    <row r="55" spans="1:22" ht="60" customHeight="1">
      <c r="A55" s="8"/>
      <c r="B55" s="8"/>
      <c r="C55" s="8"/>
      <c r="D55" s="8"/>
      <c r="E55" s="9"/>
      <c r="F55" s="11" t="str">
        <f t="shared" si="2"/>
        <v/>
      </c>
      <c r="G55" s="20" t="str">
        <f>IF(A55="","",IF(COUNTIF('15 - AI DELEGATION'!$A$9:$A$58,A55)&gt;1,"DUPLICATE ID ","")&amp;IF(ReviewDate="","SET REVIEW DATE ","")&amp;IF(O55="","REVIEWER MISSING ","")&amp;IF(M55="","ENVIRONMENT NOT DEFINED ","")&amp;IF(R55="","APPROVAL BOUNDARY MISSING ","")&amp;IF(T55="","STOP CONDITION MISSING ",""))</f>
        <v/>
      </c>
      <c r="H55" s="11" t="str">
        <f t="shared" si="3"/>
        <v/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9"/>
    </row>
    <row r="56" spans="1:22" ht="60" customHeight="1">
      <c r="A56" s="8"/>
      <c r="B56" s="8"/>
      <c r="C56" s="8"/>
      <c r="D56" s="8"/>
      <c r="E56" s="9"/>
      <c r="F56" s="11" t="str">
        <f t="shared" si="2"/>
        <v/>
      </c>
      <c r="G56" s="20" t="str">
        <f>IF(A56="","",IF(COUNTIF('15 - AI DELEGATION'!$A$9:$A$58,A56)&gt;1,"DUPLICATE ID ","")&amp;IF(ReviewDate="","SET REVIEW DATE ","")&amp;IF(O56="","REVIEWER MISSING ","")&amp;IF(M56="","ENVIRONMENT NOT DEFINED ","")&amp;IF(R56="","APPROVAL BOUNDARY MISSING ","")&amp;IF(T56="","STOP CONDITION MISSING ",""))</f>
        <v/>
      </c>
      <c r="H56" s="11" t="str">
        <f t="shared" si="3"/>
        <v/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9"/>
    </row>
    <row r="57" spans="1:22" ht="60" customHeight="1">
      <c r="A57" s="8"/>
      <c r="B57" s="8"/>
      <c r="C57" s="8"/>
      <c r="D57" s="8"/>
      <c r="E57" s="9"/>
      <c r="F57" s="11" t="str">
        <f t="shared" si="2"/>
        <v/>
      </c>
      <c r="G57" s="20" t="str">
        <f>IF(A57="","",IF(COUNTIF('15 - AI DELEGATION'!$A$9:$A$58,A57)&gt;1,"DUPLICATE ID ","")&amp;IF(ReviewDate="","SET REVIEW DATE ","")&amp;IF(O57="","REVIEWER MISSING ","")&amp;IF(M57="","ENVIRONMENT NOT DEFINED ","")&amp;IF(R57="","APPROVAL BOUNDARY MISSING ","")&amp;IF(T57="","STOP CONDITION MISSING ",""))</f>
        <v/>
      </c>
      <c r="H57" s="11" t="str">
        <f t="shared" si="3"/>
        <v/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9"/>
    </row>
    <row r="58" spans="1:22" ht="60" customHeight="1">
      <c r="A58" s="8"/>
      <c r="B58" s="8"/>
      <c r="C58" s="8"/>
      <c r="D58" s="8"/>
      <c r="E58" s="9"/>
      <c r="F58" s="11" t="str">
        <f t="shared" si="2"/>
        <v/>
      </c>
      <c r="G58" s="20" t="str">
        <f>IF(A58="","",IF(COUNTIF('15 - AI DELEGATION'!$A$9:$A$58,A58)&gt;1,"DUPLICATE ID ","")&amp;IF(ReviewDate="","SET REVIEW DATE ","")&amp;IF(O58="","REVIEWER MISSING ","")&amp;IF(M58="","ENVIRONMENT NOT DEFINED ","")&amp;IF(R58="","APPROVAL BOUNDARY MISSING ","")&amp;IF(T58="","STOP CONDITION MISSING ",""))</f>
        <v/>
      </c>
      <c r="H58" s="11" t="str">
        <f t="shared" si="3"/>
        <v/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9"/>
    </row>
    <row r="59" spans="1:22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</sheetData>
  <mergeCells count="1">
    <mergeCell ref="A4:J4"/>
  </mergeCells>
  <conditionalFormatting sqref="F9:F58">
    <cfRule type="containsText" dxfId="1" priority="2" operator="containsText" text="Critical"/>
  </conditionalFormatting>
  <conditionalFormatting sqref="G9:G58">
    <cfRule type="containsText" dxfId="0" priority="1" operator="containsText" text="MISSING"/>
  </conditionalFormatting>
  <dataValidations count="1">
    <dataValidation type="list" sqref="C9:C58" xr:uid="{00000000-0002-0000-0F00-000000000000}">
      <formula1>WorkStatus</formula1>
    </dataValidation>
  </dataValidations>
  <hyperlinks>
    <hyperlink ref="A6" location="'00 - START HERE'!A1" display="Start here" xr:uid="{00000000-0004-0000-0F00-000000000000}"/>
  </hyperlinks>
  <pageMargins left="0.25" right="0.25" top="0.4" bottom="0.4" header="0.2" footer="0.2"/>
  <pageSetup paperSize="8" scale="9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72</vt:i4>
      </vt:variant>
    </vt:vector>
  </HeadingPairs>
  <TitlesOfParts>
    <vt:vector size="88" baseType="lpstr">
      <vt:lpstr>00 - START HERE</vt:lpstr>
      <vt:lpstr>01 - PROJECT SETUP</vt:lpstr>
      <vt:lpstr>02 - CONTROL DASHBOARD</vt:lpstr>
      <vt:lpstr>03 - HEALTH REVIEW</vt:lpstr>
      <vt:lpstr>04 - DECISION LOG</vt:lpstr>
      <vt:lpstr>05 - DEPENDENCIES</vt:lpstr>
      <vt:lpstr>06 - FLOW</vt:lpstr>
      <vt:lpstr>07 - EVIDENCE &amp; ASSURANCE</vt:lpstr>
      <vt:lpstr>08 - READINESS</vt:lpstr>
      <vt:lpstr>09 - ADOPTION &amp; BENEFITS</vt:lpstr>
      <vt:lpstr>10 - RECOVERY</vt:lpstr>
      <vt:lpstr>11 - STEERING PACK</vt:lpstr>
      <vt:lpstr>12 - NEXT ACTIONS</vt:lpstr>
      <vt:lpstr>13 - DATA &amp; LISTS</vt:lpstr>
      <vt:lpstr>14 - REVIEW HISTORY</vt:lpstr>
      <vt:lpstr>15 - AI DELEGATION</vt:lpstr>
      <vt:lpstr>Authority</vt:lpstr>
      <vt:lpstr>BlockDays</vt:lpstr>
      <vt:lpstr>CadenceDays</vt:lpstr>
      <vt:lpstr>CapabilityIDs</vt:lpstr>
      <vt:lpstr>Change</vt:lpstr>
      <vt:lpstr>Clear_03</vt:lpstr>
      <vt:lpstr>Clear_04</vt:lpstr>
      <vt:lpstr>Clear_05</vt:lpstr>
      <vt:lpstr>Clear_06</vt:lpstr>
      <vt:lpstr>Clear_07</vt:lpstr>
      <vt:lpstr>Clear_08</vt:lpstr>
      <vt:lpstr>Clear_09</vt:lpstr>
      <vt:lpstr>Clear_10</vt:lpstr>
      <vt:lpstr>Clear_15</vt:lpstr>
      <vt:lpstr>Clear_History</vt:lpstr>
      <vt:lpstr>Clear_Steering</vt:lpstr>
      <vt:lpstr>Commitment</vt:lpstr>
      <vt:lpstr>Condition</vt:lpstr>
      <vt:lpstr>Confidence</vt:lpstr>
      <vt:lpstr>Controls</vt:lpstr>
      <vt:lpstr>Criticality</vt:lpstr>
      <vt:lpstr>DecisionIDs</vt:lpstr>
      <vt:lpstr>DecisionStatus</vt:lpstr>
      <vt:lpstr>DependencyIDs</vt:lpstr>
      <vt:lpstr>Domain</vt:lpstr>
      <vt:lpstr>EscDays</vt:lpstr>
      <vt:lpstr>EvidenceBasis</vt:lpstr>
      <vt:lpstr>FreshDays</vt:lpstr>
      <vt:lpstr>Horizon</vt:lpstr>
      <vt:lpstr>Misses</vt:lpstr>
      <vt:lpstr>MoveCount</vt:lpstr>
      <vt:lpstr>ObservationDays</vt:lpstr>
      <vt:lpstr>PreviousReview</vt:lpstr>
      <vt:lpstr>'00 - START HERE'!Print_Area</vt:lpstr>
      <vt:lpstr>'01 - PROJECT SETUP'!Print_Area</vt:lpstr>
      <vt:lpstr>'02 - CONTROL DASHBOARD'!Print_Area</vt:lpstr>
      <vt:lpstr>'03 - HEALTH REVIEW'!Print_Area</vt:lpstr>
      <vt:lpstr>'04 - DECISION LOG'!Print_Area</vt:lpstr>
      <vt:lpstr>'05 - DEPENDENCIES'!Print_Area</vt:lpstr>
      <vt:lpstr>'06 - FLOW'!Print_Area</vt:lpstr>
      <vt:lpstr>'07 - EVIDENCE &amp; ASSURANCE'!Print_Area</vt:lpstr>
      <vt:lpstr>'08 - READINESS'!Print_Area</vt:lpstr>
      <vt:lpstr>'09 - ADOPTION &amp; BENEFITS'!Print_Area</vt:lpstr>
      <vt:lpstr>'10 - RECOVERY'!Print_Area</vt:lpstr>
      <vt:lpstr>'11 - STEERING PACK'!Print_Area</vt:lpstr>
      <vt:lpstr>'12 - NEXT ACTIONS'!Print_Area</vt:lpstr>
      <vt:lpstr>'13 - DATA &amp; LISTS'!Print_Area</vt:lpstr>
      <vt:lpstr>'14 - REVIEW HISTORY'!Print_Area</vt:lpstr>
      <vt:lpstr>'15 - AI DELEGATION'!Print_Area</vt:lpstr>
      <vt:lpstr>'02 - CONTROL DASHBOARD'!Print_Titles</vt:lpstr>
      <vt:lpstr>'03 - HEALTH REVIEW'!Print_Titles</vt:lpstr>
      <vt:lpstr>'04 - DECISION LOG'!Print_Titles</vt:lpstr>
      <vt:lpstr>'05 - DEPENDENCIES'!Print_Titles</vt:lpstr>
      <vt:lpstr>'06 - FLOW'!Print_Titles</vt:lpstr>
      <vt:lpstr>'07 - EVIDENCE &amp; ASSURANCE'!Print_Titles</vt:lpstr>
      <vt:lpstr>'08 - READINESS'!Print_Titles</vt:lpstr>
      <vt:lpstr>'09 - ADOPTION &amp; BENEFITS'!Print_Titles</vt:lpstr>
      <vt:lpstr>'10 - RECOVERY'!Print_Titles</vt:lpstr>
      <vt:lpstr>'12 - NEXT ACTIONS'!Print_Titles</vt:lpstr>
      <vt:lpstr>'14 - REVIEW HISTORY'!Print_Titles</vt:lpstr>
      <vt:lpstr>'15 - AI DELEGATION'!Print_Titles</vt:lpstr>
      <vt:lpstr>ReadinessIDs</vt:lpstr>
      <vt:lpstr>ReadyStatus</vt:lpstr>
      <vt:lpstr>RESET</vt:lpstr>
      <vt:lpstr>Result</vt:lpstr>
      <vt:lpstr>ReviewDate</vt:lpstr>
      <vt:lpstr>Stage</vt:lpstr>
      <vt:lpstr>Trajectory</vt:lpstr>
      <vt:lpstr>Upcoming</vt:lpstr>
      <vt:lpstr>WarnDays</vt:lpstr>
      <vt:lpstr>WorkStatus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Gaber</dc:creator>
  <cp:lastModifiedBy>Karim Gaber</cp:lastModifiedBy>
  <dcterms:modified xsi:type="dcterms:W3CDTF">2026-09-25T08:00:15Z</dcterms:modified>
</cp:coreProperties>
</file>